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omments31.xml" ContentType="application/vnd.openxmlformats-officedocument.spreadsheetml.comments+xml"/>
  <Override PartName="/xl/drawings/drawing32.xml" ContentType="application/vnd.openxmlformats-officedocument.drawing+xml"/>
  <Override PartName="/xl/comments32.xml" ContentType="application/vnd.openxmlformats-officedocument.spreadsheetml.comments+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5"/>
  <workbookPr codeName="ThisWorkbook"/>
  <mc:AlternateContent xmlns:mc="http://schemas.openxmlformats.org/markup-compatibility/2006">
    <mc:Choice Requires="x15">
      <x15ac:absPath xmlns:x15ac="http://schemas.microsoft.com/office/spreadsheetml/2010/11/ac" url="https://amlaeuropaeu.sharepoint.com/sites/AMLA-Testing/Shared Documents/General/AMLA WG - FS Risk Assessment &amp; Selection Methodologies/Reporting Package V2/"/>
    </mc:Choice>
  </mc:AlternateContent>
  <xr:revisionPtr revIDLastSave="12" documentId="13_ncr:1_{2A2BF079-819A-44A9-805E-767F8FED1B34}" xr6:coauthVersionLast="47" xr6:coauthVersionMax="47" xr10:uidLastSave="{DD12051B-CB6F-47B4-AE76-B10E3B350AE4}"/>
  <workbookProtection workbookAlgorithmName="SHA-512" workbookHashValue="KQNcle8mhlox9b5OVta4P/s3/UpNdhLlF5ie1vIg4dd6/4ilGZ0Ow8r+GnFZLyzPPMTsp2rqe5T09+tG+G5Udg==" workbookSaltValue="qgt1DS5KFia4+Rf4sciu8w==" workbookSpinCount="100000" lockStructure="1"/>
  <bookViews>
    <workbookView xWindow="-120" yWindow="-120" windowWidth="29040" windowHeight="15720" firstSheet="32" activeTab="32" xr2:uid="{A8F79F14-E50C-4088-9B8A-354A1C47FEBB}"/>
  </bookViews>
  <sheets>
    <sheet name="DataQualityDashboard" sheetId="88" r:id="rId1"/>
    <sheet name="AML.01.01" sheetId="50" r:id="rId2"/>
    <sheet name="AML.01.02" sheetId="51" r:id="rId3"/>
    <sheet name="AML.02.01" sheetId="34" r:id="rId4"/>
    <sheet name="AML.03.01" sheetId="35" r:id="rId5"/>
    <sheet name="AML.03.02" sheetId="37" r:id="rId6"/>
    <sheet name="AML.03.03" sheetId="38" r:id="rId7"/>
    <sheet name="AML.03.04" sheetId="39" r:id="rId8"/>
    <sheet name="AML.03.05" sheetId="40" r:id="rId9"/>
    <sheet name="AML.03.06" sheetId="43" r:id="rId10"/>
    <sheet name="AML.04.01" sheetId="41" r:id="rId11"/>
    <sheet name="AML.04.02" sheetId="42" r:id="rId12"/>
    <sheet name="AML.04.03" sheetId="44" r:id="rId13"/>
    <sheet name="AML.04.04" sheetId="46" r:id="rId14"/>
    <sheet name="AML.04.05" sheetId="47" r:id="rId15"/>
    <sheet name="AML.04.06" sheetId="48" r:id="rId16"/>
    <sheet name="AML.04.07" sheetId="49" r:id="rId17"/>
    <sheet name="AML.04.08" sheetId="52" r:id="rId18"/>
    <sheet name="AML.04.09" sheetId="55" r:id="rId19"/>
    <sheet name="AML.04.10" sheetId="53" r:id="rId20"/>
    <sheet name="AML.04.11" sheetId="56" r:id="rId21"/>
    <sheet name="AML.04.12" sheetId="57" r:id="rId22"/>
    <sheet name="AML.04.13" sheetId="59" r:id="rId23"/>
    <sheet name="AML.04.14" sheetId="60" r:id="rId24"/>
    <sheet name="AML.05.01" sheetId="62" r:id="rId25"/>
    <sheet name="AML.06.01" sheetId="63" r:id="rId26"/>
    <sheet name="AML.07.01" sheetId="64" r:id="rId27"/>
    <sheet name="AML.07.02" sheetId="65" r:id="rId28"/>
    <sheet name="AML.07.03" sheetId="66" r:id="rId29"/>
    <sheet name="AML.07.04" sheetId="67" r:id="rId30"/>
    <sheet name="AML.07.05" sheetId="68" r:id="rId31"/>
    <sheet name="AML.07.06" sheetId="69" r:id="rId32"/>
    <sheet name="AML.07.07" sheetId="70" r:id="rId33"/>
    <sheet name="Templates Matrix" sheetId="33" state="hidden" r:id="rId34"/>
    <sheet name="Lists" sheetId="78" r:id="rId35"/>
    <sheet name="vector" sheetId="73" r:id="rId36"/>
    <sheet name="Validations_ext" sheetId="87" r:id="rId37"/>
  </sheets>
  <definedNames>
    <definedName name="_xlnm._FilterDatabase" localSheetId="34" hidden="1">Lists!$A$1:$E$60</definedName>
    <definedName name="_xlnm._FilterDatabase" localSheetId="36" hidden="1">Validations_ext!$A$1:$K$601</definedName>
    <definedName name="_xlnm._FilterDatabase" localSheetId="35" hidden="1">vector!$A$1:$P$288</definedName>
    <definedName name="LIST_AMLA_00001">Lists!$D$2:$D$60</definedName>
    <definedName name="LIST_AMLA_00002">Lists!$I$2:$I$11</definedName>
    <definedName name="LIST_AMLA_00003">Lists!$M$2:$M$28</definedName>
    <definedName name="LIST_AMLA_00004">Lists!$Q$2:$Q$8</definedName>
    <definedName name="LIST_AMLA_00005">Lists!$U$2:$U$250</definedName>
    <definedName name="LIST_AMLA_00006">Lists!$Y$2:$Y$3</definedName>
    <definedName name="LIST_AMLA_00007">Lists!$AC$2:$AC$33</definedName>
    <definedName name="LIST_AMLA_00008">Lists!$AG$2:$AG$30</definedName>
    <definedName name="LIST_AMLA_00009">Lists!$AK$2:$AK$6</definedName>
    <definedName name="LIST_AMLA_00010">Lists!$AO$2:$AO$4</definedName>
    <definedName name="LIST_AMLA_000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9" i="87" l="1"/>
  <c r="I428" i="87" a="1"/>
  <c r="I428" i="87" s="1"/>
  <c r="I465" i="87" a="1"/>
  <c r="I465" i="87" s="1"/>
  <c r="I464" i="87" a="1"/>
  <c r="I464" i="87" s="1"/>
  <c r="I463" i="87" a="1"/>
  <c r="I463" i="87" s="1"/>
  <c r="I462" i="87" a="1"/>
  <c r="I462" i="87" s="1"/>
  <c r="I460" i="87" a="1"/>
  <c r="I460" i="87" s="1"/>
  <c r="I458" i="87" a="1"/>
  <c r="I458" i="87" s="1"/>
  <c r="I457" i="87" a="1"/>
  <c r="I457" i="87" s="1"/>
  <c r="I456" i="87" a="1"/>
  <c r="I456" i="87" s="1"/>
  <c r="I454" i="87" a="1"/>
  <c r="I454" i="87" s="1"/>
  <c r="I453" i="87" a="1"/>
  <c r="I453" i="87" s="1"/>
  <c r="I452" i="87" a="1"/>
  <c r="I452" i="87" s="1"/>
  <c r="I450" i="87" a="1"/>
  <c r="I450" i="87" s="1"/>
  <c r="I449" i="87" a="1"/>
  <c r="I449" i="87" s="1"/>
  <c r="I447" i="87" a="1"/>
  <c r="I447" i="87" s="1"/>
  <c r="I446" i="87" a="1"/>
  <c r="I446" i="87" s="1"/>
  <c r="I445" i="87" a="1"/>
  <c r="I445" i="87" s="1"/>
  <c r="I444" i="87" a="1"/>
  <c r="I444" i="87" s="1"/>
  <c r="I443" i="87" a="1"/>
  <c r="I443" i="87" s="1"/>
  <c r="I441" i="87" a="1"/>
  <c r="I441" i="87" s="1"/>
  <c r="I440" i="87" a="1"/>
  <c r="I440" i="87" s="1"/>
  <c r="I439" i="87" a="1"/>
  <c r="I439" i="87" s="1"/>
  <c r="I438" i="87" a="1"/>
  <c r="I438" i="87" s="1"/>
  <c r="I437" i="87" a="1"/>
  <c r="I437" i="87" s="1"/>
  <c r="I436" i="87" a="1"/>
  <c r="I436" i="87" s="1"/>
  <c r="I435" i="87" a="1"/>
  <c r="I435" i="87" s="1"/>
  <c r="I434" i="87" a="1"/>
  <c r="I434" i="87" s="1"/>
  <c r="I432" i="87" a="1"/>
  <c r="I432" i="87" s="1"/>
  <c r="I431" i="87" a="1"/>
  <c r="I431" i="87" s="1"/>
  <c r="I429" i="87" a="1"/>
  <c r="I429" i="87" s="1"/>
  <c r="E28" i="88"/>
  <c r="E26" i="88"/>
  <c r="E31" i="88"/>
  <c r="E30" i="88"/>
  <c r="E29" i="88"/>
  <c r="E27" i="88"/>
  <c r="E25" i="88"/>
  <c r="E24" i="88"/>
  <c r="E23" i="88"/>
  <c r="E22" i="88"/>
  <c r="E21" i="88"/>
  <c r="E20" i="88"/>
  <c r="E19" i="88"/>
  <c r="E18" i="88"/>
  <c r="E17" i="88"/>
  <c r="E16" i="88"/>
  <c r="E15" i="88"/>
  <c r="E14" i="88"/>
  <c r="E13" i="88"/>
  <c r="E12" i="88"/>
  <c r="D37" i="88" l="1"/>
  <c r="D36" i="88"/>
  <c r="J35" i="88"/>
  <c r="D32" i="88"/>
  <c r="D31" i="88"/>
  <c r="H29" i="88"/>
  <c r="J28" i="88"/>
  <c r="D27" i="88"/>
  <c r="J25" i="88"/>
  <c r="G24" i="88"/>
  <c r="H23" i="88"/>
  <c r="J21" i="88"/>
  <c r="G20" i="88"/>
  <c r="D20" i="88"/>
  <c r="D19" i="88"/>
  <c r="G16" i="88"/>
  <c r="D16" i="88"/>
  <c r="G15" i="88"/>
  <c r="D15" i="88"/>
  <c r="H13" i="88"/>
  <c r="D11" i="88"/>
  <c r="J9" i="88"/>
  <c r="B9" i="88"/>
  <c r="B10" i="88"/>
  <c r="D10" i="88" s="1"/>
  <c r="B11" i="88"/>
  <c r="B12" i="88"/>
  <c r="D12" i="88" s="1"/>
  <c r="G12" i="88"/>
  <c r="H12" i="88"/>
  <c r="B13" i="88"/>
  <c r="D13" i="88" s="1"/>
  <c r="G13" i="88"/>
  <c r="B14" i="88"/>
  <c r="D14" i="88" s="1"/>
  <c r="B15" i="88"/>
  <c r="B16" i="88"/>
  <c r="H16" i="88"/>
  <c r="B17" i="88"/>
  <c r="D17" i="88" s="1"/>
  <c r="G17" i="88"/>
  <c r="H17" i="88"/>
  <c r="B18" i="88"/>
  <c r="D18" i="88" s="1"/>
  <c r="H18" i="88"/>
  <c r="B19" i="88"/>
  <c r="B20" i="88"/>
  <c r="B21" i="88"/>
  <c r="D21" i="88" s="1"/>
  <c r="G21" i="88"/>
  <c r="H21" i="88"/>
  <c r="B22" i="88"/>
  <c r="D22" i="88" s="1"/>
  <c r="G22" i="88"/>
  <c r="H22" i="88"/>
  <c r="B23" i="88"/>
  <c r="D23" i="88" s="1"/>
  <c r="G23" i="88"/>
  <c r="B24" i="88"/>
  <c r="D24" i="88" s="1"/>
  <c r="B25" i="88"/>
  <c r="D25" i="88" s="1"/>
  <c r="G25" i="88"/>
  <c r="B26" i="88"/>
  <c r="D26" i="88" s="1"/>
  <c r="H26" i="88"/>
  <c r="B27" i="88"/>
  <c r="B28" i="88"/>
  <c r="D28" i="88" s="1"/>
  <c r="G28" i="88"/>
  <c r="H28" i="88"/>
  <c r="B29" i="88"/>
  <c r="D29" i="88" s="1"/>
  <c r="G29" i="88"/>
  <c r="B30" i="88"/>
  <c r="D30" i="88" s="1"/>
  <c r="B31" i="88"/>
  <c r="B32" i="88"/>
  <c r="B33" i="88"/>
  <c r="J33" i="88" s="1"/>
  <c r="B34" i="88"/>
  <c r="B35" i="88"/>
  <c r="B36" i="88"/>
  <c r="B37" i="88"/>
  <c r="J37" i="88" s="1"/>
  <c r="B38" i="88"/>
  <c r="J38" i="88" s="1"/>
  <c r="B39" i="88"/>
  <c r="B40" i="88"/>
  <c r="J40" i="88" s="1"/>
  <c r="I101" i="87"/>
  <c r="I99" i="87"/>
  <c r="I98" i="87"/>
  <c r="I100" i="87"/>
  <c r="I96" i="87"/>
  <c r="I97" i="87"/>
  <c r="I95" i="87"/>
  <c r="I93" i="87"/>
  <c r="I92" i="87"/>
  <c r="G10" i="88"/>
  <c r="G35" i="88"/>
  <c r="G39" i="88"/>
  <c r="G37" i="88"/>
  <c r="G33" i="88"/>
  <c r="G32" i="88"/>
  <c r="G11" i="88"/>
  <c r="G36" i="88"/>
  <c r="G9" i="88"/>
  <c r="G34" i="88"/>
  <c r="H34" i="88" l="1"/>
  <c r="H39" i="88"/>
  <c r="H37" i="88"/>
  <c r="H35" i="88"/>
  <c r="J18" i="88"/>
  <c r="H27" i="88"/>
  <c r="J36" i="88"/>
  <c r="H15" i="88"/>
  <c r="D38" i="88"/>
  <c r="G27" i="88"/>
  <c r="G31" i="88"/>
  <c r="H31" i="88"/>
  <c r="G26" i="88"/>
  <c r="H20" i="88"/>
  <c r="J16" i="88"/>
  <c r="J20" i="88"/>
  <c r="J24" i="88"/>
  <c r="D33" i="88"/>
  <c r="H25" i="88"/>
  <c r="D39" i="88"/>
  <c r="H30" i="88"/>
  <c r="H14" i="88"/>
  <c r="G30" i="88"/>
  <c r="H19" i="88"/>
  <c r="G14" i="88"/>
  <c r="D34" i="88"/>
  <c r="H24" i="88"/>
  <c r="G19" i="88"/>
  <c r="D9" i="88"/>
  <c r="J29" i="88"/>
  <c r="J34" i="88"/>
  <c r="D40" i="88"/>
  <c r="D35" i="88"/>
  <c r="G18" i="88"/>
  <c r="I80" i="87"/>
  <c r="I85" i="87"/>
  <c r="I86" i="87"/>
  <c r="I84" i="87"/>
  <c r="I81" i="87"/>
  <c r="I82" i="87"/>
  <c r="I79" i="87"/>
  <c r="I474" i="87" a="1"/>
  <c r="I474" i="87" s="1"/>
  <c r="I476" i="87" a="1"/>
  <c r="I476" i="87" s="1"/>
  <c r="I472" i="87" a="1"/>
  <c r="I472" i="87" s="1"/>
  <c r="I470" i="87" a="1"/>
  <c r="I470" i="87" s="1"/>
  <c r="I475" i="87" a="1"/>
  <c r="I475" i="87" s="1"/>
  <c r="I473" i="87" a="1"/>
  <c r="I473" i="87" s="1"/>
  <c r="I471" i="87" a="1"/>
  <c r="I471" i="87" s="1"/>
  <c r="I469" i="87" a="1"/>
  <c r="I469" i="87" s="1"/>
  <c r="I467" i="87"/>
  <c r="G40" i="88"/>
  <c r="G38" i="88"/>
  <c r="H40" i="88" l="1"/>
  <c r="H38" i="88"/>
  <c r="I83" i="87"/>
  <c r="I87" i="87"/>
  <c r="I88" i="87"/>
  <c r="I89" i="87"/>
  <c r="I90" i="87"/>
  <c r="I102" i="87"/>
  <c r="A102" i="87"/>
  <c r="A101" i="87"/>
  <c r="A100" i="87"/>
  <c r="A99" i="87"/>
  <c r="A98" i="87"/>
  <c r="A97" i="87"/>
  <c r="I17" i="87"/>
  <c r="I19" i="87"/>
  <c r="I21" i="87"/>
  <c r="I23" i="87"/>
  <c r="I25" i="87"/>
  <c r="I27" i="87"/>
  <c r="I29" i="87"/>
  <c r="I31" i="87"/>
  <c r="I33" i="87"/>
  <c r="I35" i="87"/>
  <c r="I37" i="87"/>
  <c r="I39" i="87"/>
  <c r="I41" i="87"/>
  <c r="I43" i="87"/>
  <c r="I45" i="87"/>
  <c r="I47" i="87"/>
  <c r="I49" i="87"/>
  <c r="I51" i="87"/>
  <c r="I53" i="87"/>
  <c r="I55" i="87"/>
  <c r="I57" i="87"/>
  <c r="I15" i="87"/>
  <c r="I50" i="87"/>
  <c r="I42" i="87"/>
  <c r="I52" i="87"/>
  <c r="I32" i="87"/>
  <c r="I48" i="87"/>
  <c r="I54" i="87"/>
  <c r="I40" i="87"/>
  <c r="I56" i="87"/>
  <c r="I20" i="87"/>
  <c r="I28" i="87"/>
  <c r="I38" i="87"/>
  <c r="I36" i="87"/>
  <c r="I22" i="87"/>
  <c r="I44" i="87"/>
  <c r="I24" i="87"/>
  <c r="I26" i="87"/>
  <c r="I34" i="87"/>
  <c r="I58" i="87"/>
  <c r="I46" i="87"/>
  <c r="I30" i="87"/>
  <c r="I16" i="87"/>
  <c r="I18" i="87"/>
  <c r="E99" i="87" a="1"/>
  <c r="E100" i="87" a="1"/>
  <c r="E98" i="87" a="1"/>
  <c r="E97" i="87" a="1"/>
  <c r="E101" i="87" a="1"/>
  <c r="E102" i="87" a="1"/>
  <c r="E101" i="87" l="1"/>
  <c r="E102" i="87"/>
  <c r="E99" i="87"/>
  <c r="E100" i="87"/>
  <c r="E97" i="87"/>
  <c r="E98" i="87"/>
  <c r="I12" i="87"/>
  <c r="I64" i="87" a="1"/>
  <c r="I64" i="87" s="1"/>
  <c r="J10" i="88" s="1"/>
  <c r="I65" i="87"/>
  <c r="I13" i="87"/>
  <c r="A59" i="87"/>
  <c r="A58" i="87"/>
  <c r="A57" i="87"/>
  <c r="A56" i="87"/>
  <c r="I14" i="87"/>
  <c r="I10" i="87"/>
  <c r="E57" i="87" a="1"/>
  <c r="E58" i="87" a="1"/>
  <c r="E211" i="73" a="1"/>
  <c r="E59" i="87" a="1"/>
  <c r="E56" i="87" a="1"/>
  <c r="E59" i="87" l="1"/>
  <c r="E58" i="87"/>
  <c r="E57" i="87"/>
  <c r="E56" i="87"/>
  <c r="E211" i="73"/>
  <c r="H211" i="73" a="1"/>
  <c r="G53" i="73" a="1"/>
  <c r="E30" i="73" a="1"/>
  <c r="E31" i="73" a="1"/>
  <c r="E54" i="73" a="1"/>
  <c r="G31" i="73" a="1"/>
  <c r="E47" i="73" a="1"/>
  <c r="F54" i="73" a="1"/>
  <c r="F214" i="73" a="1"/>
  <c r="F53" i="73" a="1"/>
  <c r="H54" i="73" a="1"/>
  <c r="E215" i="73" a="1"/>
  <c r="H212" i="73" a="1"/>
  <c r="F51" i="73" a="1"/>
  <c r="G54" i="73" a="1"/>
  <c r="I214" i="73" a="1"/>
  <c r="G52" i="73" a="1"/>
  <c r="E213" i="73" a="1"/>
  <c r="F30" i="73" a="1"/>
  <c r="I215" i="73" a="1"/>
  <c r="G213" i="73" a="1"/>
  <c r="H215" i="73" a="1"/>
  <c r="G211" i="73" a="1"/>
  <c r="F215" i="73" a="1"/>
  <c r="H53" i="73" a="1"/>
  <c r="G30" i="73" a="1"/>
  <c r="F212" i="73" a="1"/>
  <c r="F211" i="73" a="1"/>
  <c r="I211" i="73" a="1"/>
  <c r="I213" i="73" a="1"/>
  <c r="H52" i="73" a="1"/>
  <c r="I30" i="73" a="1"/>
  <c r="E214" i="73" a="1"/>
  <c r="F52" i="73" a="1"/>
  <c r="E53" i="73" a="1"/>
  <c r="H213" i="73" a="1"/>
  <c r="E212" i="73" a="1"/>
  <c r="G212" i="73" a="1"/>
  <c r="G215" i="73" a="1"/>
  <c r="H214" i="73" a="1"/>
  <c r="F213" i="73" a="1"/>
  <c r="H30" i="73" a="1"/>
  <c r="G214" i="73" a="1"/>
  <c r="E52" i="73" a="1"/>
  <c r="E51" i="73" a="1"/>
  <c r="F31" i="73" a="1"/>
  <c r="I212" i="73" a="1"/>
  <c r="G215" i="73" l="1"/>
  <c r="E213" i="73"/>
  <c r="F215" i="73"/>
  <c r="E212" i="73"/>
  <c r="I215" i="73"/>
  <c r="F214" i="73"/>
  <c r="G213" i="73"/>
  <c r="H212" i="73"/>
  <c r="I211" i="73"/>
  <c r="H214" i="73"/>
  <c r="G211" i="73"/>
  <c r="G214" i="73"/>
  <c r="F211" i="73"/>
  <c r="E215" i="73"/>
  <c r="F212" i="73"/>
  <c r="H213" i="73"/>
  <c r="H215" i="73"/>
  <c r="I214" i="73"/>
  <c r="E214" i="73"/>
  <c r="F213" i="73"/>
  <c r="G212" i="73"/>
  <c r="H211" i="73"/>
  <c r="I213" i="73"/>
  <c r="I212" i="73"/>
  <c r="E47" i="73"/>
  <c r="H54" i="73"/>
  <c r="H53" i="73"/>
  <c r="H52" i="73"/>
  <c r="G54" i="73"/>
  <c r="G53" i="73"/>
  <c r="G52" i="73"/>
  <c r="F54" i="73"/>
  <c r="F53" i="73"/>
  <c r="F51" i="73"/>
  <c r="F52" i="73"/>
  <c r="E53" i="73"/>
  <c r="E52" i="73"/>
  <c r="E54" i="73"/>
  <c r="E51" i="73"/>
  <c r="F31" i="73"/>
  <c r="G31" i="73"/>
  <c r="E31" i="73"/>
  <c r="H30" i="73"/>
  <c r="G30" i="73"/>
  <c r="I30" i="73"/>
  <c r="F30" i="73"/>
  <c r="E30" i="73"/>
  <c r="I2" i="87"/>
  <c r="I5" i="87"/>
  <c r="I425" i="87" a="1"/>
  <c r="I425" i="87" s="1"/>
  <c r="I162" i="87" l="1"/>
  <c r="I154" i="87"/>
  <c r="I63" i="87" a="1"/>
  <c r="I63" i="87" s="1"/>
  <c r="I186" i="87" l="1"/>
  <c r="I220" i="87"/>
  <c r="I373" i="87" l="1"/>
  <c r="I372" i="87"/>
  <c r="I369" i="87"/>
  <c r="I368" i="87"/>
  <c r="I364" i="87"/>
  <c r="I363" i="87"/>
  <c r="I178" i="87"/>
  <c r="I356" i="87"/>
  <c r="I355" i="87"/>
  <c r="I175" i="87"/>
  <c r="I352" i="87"/>
  <c r="I351" i="87"/>
  <c r="I347" i="87"/>
  <c r="I346" i="87"/>
  <c r="I345" i="87"/>
  <c r="I344" i="87"/>
  <c r="I339" i="87"/>
  <c r="I338" i="87"/>
  <c r="I208" i="87"/>
  <c r="I334" i="87"/>
  <c r="I333" i="87"/>
  <c r="I205" i="87"/>
  <c r="I330" i="87"/>
  <c r="I329" i="87"/>
  <c r="I328" i="87"/>
  <c r="I282" i="87"/>
  <c r="I202" i="87"/>
  <c r="I130" i="87"/>
  <c r="I116" i="87"/>
  <c r="I422" i="87"/>
  <c r="I294" i="87"/>
  <c r="I279" i="87"/>
  <c r="I243" i="87"/>
  <c r="I146" i="87"/>
  <c r="I127" i="87"/>
  <c r="I113" i="87"/>
  <c r="I576" i="87"/>
  <c r="J39" i="88" s="1"/>
  <c r="I433" i="87"/>
  <c r="I419" i="87"/>
  <c r="I323" i="87"/>
  <c r="I322" i="87"/>
  <c r="I291" i="87"/>
  <c r="I276" i="87"/>
  <c r="I240" i="87"/>
  <c r="I124" i="87"/>
  <c r="I110" i="87"/>
  <c r="I430" i="87"/>
  <c r="J32" i="88" s="1"/>
  <c r="I408" i="87"/>
  <c r="I318" i="87"/>
  <c r="I317" i="87"/>
  <c r="I309" i="87"/>
  <c r="I288" i="87"/>
  <c r="I273" i="87"/>
  <c r="I237" i="87"/>
  <c r="I195" i="87"/>
  <c r="I155" i="87"/>
  <c r="I141" i="87"/>
  <c r="I121" i="87"/>
  <c r="I107" i="87"/>
  <c r="I405" i="87"/>
  <c r="J30" i="88" s="1"/>
  <c r="I314" i="87"/>
  <c r="I313" i="87"/>
  <c r="I312" i="87"/>
  <c r="I306" i="87"/>
  <c r="J26" i="88" s="1"/>
  <c r="I285" i="87"/>
  <c r="I270" i="87"/>
  <c r="I269" i="87"/>
  <c r="I234" i="87"/>
  <c r="J19" i="88" s="1"/>
  <c r="I192" i="87"/>
  <c r="I151" i="87"/>
  <c r="I138" i="87"/>
  <c r="I137" i="87"/>
  <c r="I68" i="87"/>
  <c r="I67" i="87"/>
  <c r="J11" i="88" s="1"/>
  <c r="I520" i="87"/>
  <c r="I519" i="87"/>
  <c r="I518" i="87"/>
  <c r="I377" i="87"/>
  <c r="I517" i="87"/>
  <c r="I376" i="87"/>
  <c r="I516" i="87"/>
  <c r="I375" i="87"/>
  <c r="I515" i="87"/>
  <c r="I374" i="87"/>
  <c r="I514" i="87"/>
  <c r="I371" i="87"/>
  <c r="I513" i="87"/>
  <c r="I370" i="87"/>
  <c r="I569" i="87"/>
  <c r="I512" i="87"/>
  <c r="I461" i="87"/>
  <c r="I367" i="87"/>
  <c r="I568" i="87"/>
  <c r="I511" i="87"/>
  <c r="I366" i="87"/>
  <c r="I365" i="87"/>
  <c r="I567" i="87"/>
  <c r="I510" i="87"/>
  <c r="I459" i="87"/>
  <c r="I362" i="87"/>
  <c r="I566" i="87"/>
  <c r="I509" i="87"/>
  <c r="I361" i="87"/>
  <c r="I565" i="87"/>
  <c r="I508" i="87"/>
  <c r="I360" i="87"/>
  <c r="I180" i="87"/>
  <c r="I507" i="87"/>
  <c r="I359" i="87"/>
  <c r="I179" i="87"/>
  <c r="I564" i="87"/>
  <c r="I506" i="87"/>
  <c r="I455" i="87"/>
  <c r="I358" i="87"/>
  <c r="I177" i="87"/>
  <c r="I563" i="87"/>
  <c r="I505" i="87"/>
  <c r="I357" i="87"/>
  <c r="I176" i="87"/>
  <c r="I562" i="87"/>
  <c r="I504" i="87"/>
  <c r="I354" i="87"/>
  <c r="I231" i="87"/>
  <c r="I174" i="87"/>
  <c r="I561" i="87"/>
  <c r="I503" i="87"/>
  <c r="I353" i="87"/>
  <c r="I230" i="87"/>
  <c r="I173" i="87"/>
  <c r="I560" i="87"/>
  <c r="I502" i="87"/>
  <c r="I451" i="87"/>
  <c r="I350" i="87"/>
  <c r="I229" i="87"/>
  <c r="I172" i="87"/>
  <c r="I559" i="87"/>
  <c r="I349" i="87"/>
  <c r="I348" i="87"/>
  <c r="I228" i="87"/>
  <c r="I171" i="87"/>
  <c r="I558" i="87"/>
  <c r="I501" i="87"/>
  <c r="I448" i="87"/>
  <c r="I399" i="87"/>
  <c r="I343" i="87"/>
  <c r="I227" i="87"/>
  <c r="I170" i="87"/>
  <c r="I557" i="87"/>
  <c r="I398" i="87"/>
  <c r="I342" i="87"/>
  <c r="I226" i="87"/>
  <c r="I169" i="87"/>
  <c r="I601" i="87"/>
  <c r="I556" i="87"/>
  <c r="I500" i="87"/>
  <c r="I397" i="87"/>
  <c r="I341" i="87"/>
  <c r="I225" i="87"/>
  <c r="I168" i="87"/>
  <c r="I600" i="87"/>
  <c r="I396" i="87"/>
  <c r="I340" i="87"/>
  <c r="I224" i="87"/>
  <c r="I167" i="87"/>
  <c r="I599" i="87"/>
  <c r="I555" i="87"/>
  <c r="I547" i="87"/>
  <c r="I533" i="87"/>
  <c r="I499" i="87"/>
  <c r="I442" i="87"/>
  <c r="I395" i="87"/>
  <c r="I337" i="87"/>
  <c r="I223" i="87"/>
  <c r="I207" i="87"/>
  <c r="I166" i="87"/>
  <c r="I134" i="87"/>
  <c r="I598" i="87"/>
  <c r="I546" i="87"/>
  <c r="I532" i="87"/>
  <c r="I394" i="87"/>
  <c r="I336" i="87"/>
  <c r="I335" i="87"/>
  <c r="I222" i="87"/>
  <c r="I206" i="87"/>
  <c r="I165" i="87"/>
  <c r="I133" i="87"/>
  <c r="I597" i="87"/>
  <c r="I554" i="87"/>
  <c r="I545" i="87"/>
  <c r="I531" i="87"/>
  <c r="I498" i="87"/>
  <c r="I492" i="87"/>
  <c r="I393" i="87"/>
  <c r="I332" i="87"/>
  <c r="I265" i="87"/>
  <c r="I247" i="87"/>
  <c r="I221" i="87"/>
  <c r="I204" i="87"/>
  <c r="I164" i="87"/>
  <c r="I132" i="87"/>
  <c r="I78" i="87"/>
  <c r="I596" i="87"/>
  <c r="I595" i="87"/>
  <c r="I544" i="87"/>
  <c r="I530" i="87"/>
  <c r="I491" i="87"/>
  <c r="I490" i="87"/>
  <c r="I392" i="87"/>
  <c r="I331" i="87"/>
  <c r="I264" i="87"/>
  <c r="I246" i="87"/>
  <c r="I219" i="87"/>
  <c r="I203" i="87"/>
  <c r="I163" i="87"/>
  <c r="I131" i="87"/>
  <c r="I77" i="87"/>
  <c r="I11" i="87"/>
  <c r="I594" i="87"/>
  <c r="I553" i="87"/>
  <c r="I543" i="87"/>
  <c r="I529" i="87"/>
  <c r="I497" i="87"/>
  <c r="I489" i="87"/>
  <c r="I424" i="87"/>
  <c r="I391" i="87"/>
  <c r="I327" i="87"/>
  <c r="I296" i="87"/>
  <c r="I281" i="87"/>
  <c r="I263" i="87"/>
  <c r="I245" i="87"/>
  <c r="I218" i="87"/>
  <c r="I201" i="87"/>
  <c r="I161" i="87"/>
  <c r="I148" i="87"/>
  <c r="I129" i="87"/>
  <c r="I115" i="87"/>
  <c r="I76" i="87"/>
  <c r="I593" i="87"/>
  <c r="I592" i="87"/>
  <c r="I542" i="87"/>
  <c r="I528" i="87"/>
  <c r="I488" i="87"/>
  <c r="I487" i="87"/>
  <c r="I423" i="87"/>
  <c r="I390" i="87"/>
  <c r="I389" i="87"/>
  <c r="I326" i="87"/>
  <c r="I295" i="87"/>
  <c r="I280" i="87"/>
  <c r="I262" i="87"/>
  <c r="I244" i="87"/>
  <c r="I217" i="87"/>
  <c r="I200" i="87"/>
  <c r="I160" i="87"/>
  <c r="I147" i="87"/>
  <c r="I128" i="87"/>
  <c r="I114" i="87"/>
  <c r="I75" i="87"/>
  <c r="I591" i="87"/>
  <c r="I579" i="87"/>
  <c r="I552" i="87"/>
  <c r="I541" i="87"/>
  <c r="I527" i="87"/>
  <c r="I496" i="87"/>
  <c r="I486" i="87"/>
  <c r="I421" i="87"/>
  <c r="I412" i="87"/>
  <c r="I388" i="87"/>
  <c r="I325" i="87"/>
  <c r="I293" i="87"/>
  <c r="I278" i="87"/>
  <c r="I261" i="87"/>
  <c r="I242" i="87"/>
  <c r="I216" i="87"/>
  <c r="I199" i="87"/>
  <c r="I189" i="87"/>
  <c r="I159" i="87"/>
  <c r="I145" i="87"/>
  <c r="I126" i="87"/>
  <c r="I112" i="87"/>
  <c r="I74" i="87"/>
  <c r="I9" i="87"/>
  <c r="I590" i="87"/>
  <c r="I589" i="87"/>
  <c r="I578" i="87"/>
  <c r="I577" i="87"/>
  <c r="I540" i="87"/>
  <c r="I526" i="87"/>
  <c r="I485" i="87"/>
  <c r="I484" i="87"/>
  <c r="I420" i="87"/>
  <c r="I411" i="87"/>
  <c r="I387" i="87"/>
  <c r="I386" i="87"/>
  <c r="I324" i="87"/>
  <c r="I292" i="87"/>
  <c r="I277" i="87"/>
  <c r="I260" i="87"/>
  <c r="I241" i="87"/>
  <c r="I215" i="87"/>
  <c r="I198" i="87"/>
  <c r="I188" i="87"/>
  <c r="I158" i="87"/>
  <c r="I144" i="87"/>
  <c r="I125" i="87"/>
  <c r="I111" i="87"/>
  <c r="I73" i="87"/>
  <c r="I8" i="87"/>
  <c r="I588" i="87"/>
  <c r="I575" i="87"/>
  <c r="I551" i="87"/>
  <c r="I539" i="87"/>
  <c r="I525" i="87"/>
  <c r="I495" i="87"/>
  <c r="I483" i="87"/>
  <c r="I418" i="87"/>
  <c r="I410" i="87"/>
  <c r="I385" i="87"/>
  <c r="I321" i="87"/>
  <c r="I290" i="87"/>
  <c r="I275" i="87"/>
  <c r="I259" i="87"/>
  <c r="I239" i="87"/>
  <c r="I214" i="87"/>
  <c r="I197" i="87"/>
  <c r="I187" i="87"/>
  <c r="I157" i="87"/>
  <c r="I143" i="87"/>
  <c r="I123" i="87"/>
  <c r="I109" i="87"/>
  <c r="I72" i="87"/>
  <c r="I62" i="87"/>
  <c r="I7" i="87"/>
  <c r="I587" i="87"/>
  <c r="I586" i="87"/>
  <c r="I574" i="87"/>
  <c r="I550" i="87"/>
  <c r="I538" i="87"/>
  <c r="I524" i="87"/>
  <c r="I482" i="87"/>
  <c r="I481" i="87"/>
  <c r="I417" i="87"/>
  <c r="I409" i="87"/>
  <c r="I384" i="87"/>
  <c r="I320" i="87"/>
  <c r="I319" i="87"/>
  <c r="I289" i="87"/>
  <c r="I274" i="87"/>
  <c r="I258" i="87"/>
  <c r="I238" i="87"/>
  <c r="I213" i="87"/>
  <c r="I196" i="87"/>
  <c r="I185" i="87"/>
  <c r="I156" i="87"/>
  <c r="I142" i="87"/>
  <c r="I122" i="87"/>
  <c r="I108" i="87"/>
  <c r="I71" i="87"/>
  <c r="I6" i="87"/>
  <c r="I585" i="87"/>
  <c r="I573" i="87"/>
  <c r="I549" i="87"/>
  <c r="I537" i="87"/>
  <c r="I523" i="87"/>
  <c r="I494" i="87"/>
  <c r="I480" i="87"/>
  <c r="I416" i="87"/>
  <c r="I407" i="87"/>
  <c r="I383" i="87"/>
  <c r="I316" i="87"/>
  <c r="I308" i="87"/>
  <c r="I287" i="87"/>
  <c r="I272" i="87"/>
  <c r="I257" i="87"/>
  <c r="I253" i="87"/>
  <c r="I236" i="87"/>
  <c r="I212" i="87"/>
  <c r="I194" i="87"/>
  <c r="I184" i="87"/>
  <c r="I153" i="87"/>
  <c r="I140" i="87"/>
  <c r="I120" i="87"/>
  <c r="I106" i="87"/>
  <c r="I70" i="87"/>
  <c r="I61" i="87"/>
  <c r="I584" i="87"/>
  <c r="I583" i="87"/>
  <c r="I572" i="87"/>
  <c r="I536" i="87"/>
  <c r="I479" i="87"/>
  <c r="I415" i="87"/>
  <c r="I406" i="87"/>
  <c r="I382" i="87"/>
  <c r="I381" i="87"/>
  <c r="I315" i="87"/>
  <c r="I307" i="87"/>
  <c r="I286" i="87"/>
  <c r="I271" i="87"/>
  <c r="I256" i="87"/>
  <c r="I252" i="87"/>
  <c r="I251" i="87"/>
  <c r="I235" i="87"/>
  <c r="I211" i="87"/>
  <c r="I193" i="87"/>
  <c r="I183" i="87"/>
  <c r="I152" i="87"/>
  <c r="I139" i="87"/>
  <c r="I119" i="87"/>
  <c r="I105" i="87"/>
  <c r="I69" i="87"/>
  <c r="I4" i="87"/>
  <c r="I582" i="87"/>
  <c r="I571" i="87"/>
  <c r="I548" i="87"/>
  <c r="I535" i="87"/>
  <c r="I522" i="87"/>
  <c r="I493" i="87"/>
  <c r="I478" i="87"/>
  <c r="I468" i="87"/>
  <c r="I427" i="87"/>
  <c r="I414" i="87"/>
  <c r="I404" i="87"/>
  <c r="I402" i="87"/>
  <c r="I380" i="87"/>
  <c r="I311" i="87"/>
  <c r="I305" i="87"/>
  <c r="I302" i="87"/>
  <c r="I300" i="87"/>
  <c r="I284" i="87"/>
  <c r="I268" i="87"/>
  <c r="I255" i="87"/>
  <c r="I250" i="87"/>
  <c r="I233" i="87"/>
  <c r="I210" i="87"/>
  <c r="I191" i="87"/>
  <c r="I182" i="87"/>
  <c r="I150" i="87"/>
  <c r="I136" i="87"/>
  <c r="I118" i="87"/>
  <c r="I104" i="87"/>
  <c r="I66" i="87"/>
  <c r="I3" i="87"/>
  <c r="I581" i="87"/>
  <c r="I580" i="87"/>
  <c r="I570" i="87"/>
  <c r="I534" i="87"/>
  <c r="I521" i="87"/>
  <c r="I477" i="87"/>
  <c r="I466" i="87"/>
  <c r="I426" i="87"/>
  <c r="I413" i="87"/>
  <c r="I403" i="87"/>
  <c r="I30" i="88" s="1"/>
  <c r="I401" i="87"/>
  <c r="I400" i="87"/>
  <c r="I379" i="87"/>
  <c r="I378" i="87"/>
  <c r="I310" i="87"/>
  <c r="I304" i="87"/>
  <c r="I303" i="87"/>
  <c r="I301" i="87"/>
  <c r="I299" i="87"/>
  <c r="I298" i="87"/>
  <c r="I297" i="87"/>
  <c r="I283" i="87"/>
  <c r="I267" i="87"/>
  <c r="I266" i="87"/>
  <c r="I254" i="87"/>
  <c r="I249" i="87"/>
  <c r="I248" i="87"/>
  <c r="I232" i="87"/>
  <c r="I209" i="87"/>
  <c r="I190" i="87"/>
  <c r="I181" i="87"/>
  <c r="I149" i="87"/>
  <c r="I135" i="87"/>
  <c r="I117" i="87"/>
  <c r="I103" i="87"/>
  <c r="J31" i="88" l="1"/>
  <c r="I25" i="88"/>
  <c r="I21" i="88"/>
  <c r="J15" i="88"/>
  <c r="J12" i="88"/>
  <c r="I31" i="88"/>
  <c r="I11" i="88"/>
  <c r="H11" i="88" s="1"/>
  <c r="I24" i="88"/>
  <c r="I18" i="88"/>
  <c r="J13" i="88"/>
  <c r="I22" i="88"/>
  <c r="I27" i="88"/>
  <c r="I35" i="88"/>
  <c r="I32" i="88"/>
  <c r="H32" i="88" s="1"/>
  <c r="I33" i="88"/>
  <c r="H33" i="88" s="1"/>
  <c r="I23" i="88"/>
  <c r="I10" i="88"/>
  <c r="H10" i="88" s="1"/>
  <c r="J14" i="88"/>
  <c r="I34" i="88"/>
  <c r="I36" i="88"/>
  <c r="H36" i="88" s="1"/>
  <c r="I37" i="88"/>
  <c r="I39" i="88"/>
  <c r="I40" i="88"/>
  <c r="I38" i="88"/>
  <c r="I12" i="88"/>
  <c r="I13" i="88"/>
  <c r="I14" i="88"/>
  <c r="I26" i="88"/>
  <c r="J17" i="88"/>
  <c r="I15" i="88"/>
  <c r="I9" i="88"/>
  <c r="H9" i="88" s="1"/>
  <c r="J22" i="88"/>
  <c r="I17" i="88"/>
  <c r="I28" i="88"/>
  <c r="J23" i="88"/>
  <c r="I19" i="88"/>
  <c r="I29" i="88"/>
  <c r="I16" i="88"/>
  <c r="I20" i="88"/>
  <c r="J27" i="88"/>
  <c r="A601" i="87"/>
  <c r="A600" i="87"/>
  <c r="A599" i="87"/>
  <c r="A598" i="87"/>
  <c r="A597" i="87"/>
  <c r="A596" i="87"/>
  <c r="A595" i="87"/>
  <c r="A594" i="87"/>
  <c r="A593" i="87"/>
  <c r="A592" i="87"/>
  <c r="A591" i="87"/>
  <c r="A590" i="87"/>
  <c r="A589" i="87"/>
  <c r="A588" i="87"/>
  <c r="A587" i="87"/>
  <c r="A586" i="87"/>
  <c r="A585" i="87"/>
  <c r="A584" i="87"/>
  <c r="A583" i="87"/>
  <c r="A582" i="87"/>
  <c r="A581" i="87"/>
  <c r="A580" i="87"/>
  <c r="A579" i="87"/>
  <c r="A578" i="87"/>
  <c r="A577" i="87"/>
  <c r="A575" i="87"/>
  <c r="A574" i="87"/>
  <c r="A576" i="87"/>
  <c r="A573" i="87"/>
  <c r="A572" i="87"/>
  <c r="A571" i="87"/>
  <c r="A570" i="87"/>
  <c r="A569" i="87"/>
  <c r="A568" i="87"/>
  <c r="A567" i="87"/>
  <c r="A566" i="87"/>
  <c r="A565" i="87"/>
  <c r="A564" i="87"/>
  <c r="A563" i="87"/>
  <c r="A562" i="87"/>
  <c r="A561" i="87"/>
  <c r="A560" i="87"/>
  <c r="A559" i="87"/>
  <c r="A558" i="87"/>
  <c r="A557" i="87"/>
  <c r="A556" i="87"/>
  <c r="A555" i="87"/>
  <c r="A554" i="87"/>
  <c r="A553" i="87"/>
  <c r="A552" i="87"/>
  <c r="A551" i="87"/>
  <c r="A550" i="87"/>
  <c r="A549" i="87"/>
  <c r="A548" i="87"/>
  <c r="A547" i="87"/>
  <c r="A546" i="87"/>
  <c r="A545" i="87"/>
  <c r="A544" i="87"/>
  <c r="A543" i="87"/>
  <c r="A542" i="87"/>
  <c r="A541" i="87"/>
  <c r="A540" i="87"/>
  <c r="A539" i="87"/>
  <c r="A538" i="87"/>
  <c r="A537" i="87"/>
  <c r="A536" i="87"/>
  <c r="A535" i="87"/>
  <c r="A534" i="87"/>
  <c r="A533" i="87"/>
  <c r="A532" i="87"/>
  <c r="A531" i="87"/>
  <c r="A530" i="87"/>
  <c r="A529" i="87"/>
  <c r="A528" i="87"/>
  <c r="A527" i="87"/>
  <c r="A526" i="87"/>
  <c r="A525" i="87"/>
  <c r="A524" i="87"/>
  <c r="A523" i="87"/>
  <c r="A522" i="87"/>
  <c r="A521" i="87"/>
  <c r="A520" i="87"/>
  <c r="A519" i="87"/>
  <c r="A518" i="87"/>
  <c r="A517" i="87"/>
  <c r="A516" i="87"/>
  <c r="A515" i="87"/>
  <c r="A514" i="87"/>
  <c r="A513" i="87"/>
  <c r="A512" i="87"/>
  <c r="A511" i="87"/>
  <c r="A510" i="87"/>
  <c r="A509" i="87"/>
  <c r="A508" i="87"/>
  <c r="A507" i="87"/>
  <c r="A506" i="87"/>
  <c r="A505" i="87"/>
  <c r="A504" i="87"/>
  <c r="A503" i="87"/>
  <c r="A502" i="87"/>
  <c r="A501" i="87"/>
  <c r="A500" i="87"/>
  <c r="A499" i="87"/>
  <c r="A498" i="87"/>
  <c r="A497" i="87"/>
  <c r="A496" i="87"/>
  <c r="A495" i="87"/>
  <c r="A494" i="87"/>
  <c r="A493" i="87"/>
  <c r="A492" i="87"/>
  <c r="A491" i="87"/>
  <c r="A490" i="87"/>
  <c r="A489" i="87"/>
  <c r="A488" i="87"/>
  <c r="A487" i="87"/>
  <c r="A486" i="87"/>
  <c r="A485" i="87"/>
  <c r="A484" i="87"/>
  <c r="A483" i="87"/>
  <c r="A482" i="87"/>
  <c r="A481" i="87"/>
  <c r="A480" i="87"/>
  <c r="A479" i="87"/>
  <c r="A478" i="87"/>
  <c r="A477" i="87"/>
  <c r="A476" i="87"/>
  <c r="A475" i="87"/>
  <c r="A474" i="87"/>
  <c r="A473" i="87"/>
  <c r="A472" i="87"/>
  <c r="A471" i="87"/>
  <c r="A470" i="87"/>
  <c r="A469" i="87"/>
  <c r="A468" i="87"/>
  <c r="A467" i="87"/>
  <c r="A466" i="87"/>
  <c r="A465" i="87"/>
  <c r="A464" i="87"/>
  <c r="A463" i="87"/>
  <c r="A462" i="87"/>
  <c r="A461" i="87"/>
  <c r="A460" i="87"/>
  <c r="A459" i="87"/>
  <c r="A458" i="87"/>
  <c r="A457" i="87"/>
  <c r="A456" i="87"/>
  <c r="A455" i="87"/>
  <c r="A454" i="87"/>
  <c r="A453" i="87"/>
  <c r="A452" i="87"/>
  <c r="A451" i="87"/>
  <c r="A450" i="87"/>
  <c r="A448" i="87"/>
  <c r="A449" i="87"/>
  <c r="A447" i="87"/>
  <c r="A445" i="87"/>
  <c r="A446" i="87"/>
  <c r="A444" i="87"/>
  <c r="A442" i="87"/>
  <c r="A443" i="87"/>
  <c r="A441" i="87"/>
  <c r="A439" i="87"/>
  <c r="A440" i="87"/>
  <c r="A438" i="87"/>
  <c r="A437" i="87"/>
  <c r="A436" i="87"/>
  <c r="A435" i="87"/>
  <c r="A434" i="87"/>
  <c r="A432" i="87"/>
  <c r="A433" i="87"/>
  <c r="A431" i="87"/>
  <c r="A429" i="87"/>
  <c r="A430" i="87"/>
  <c r="A428" i="87"/>
  <c r="A427" i="87"/>
  <c r="A426" i="87"/>
  <c r="A425" i="87"/>
  <c r="A424" i="87"/>
  <c r="A423" i="87"/>
  <c r="A421" i="87"/>
  <c r="A422" i="87"/>
  <c r="A420" i="87"/>
  <c r="A418" i="87"/>
  <c r="A419" i="87"/>
  <c r="A417" i="87"/>
  <c r="A416" i="87"/>
  <c r="A415" i="87"/>
  <c r="A414" i="87"/>
  <c r="A413" i="87"/>
  <c r="A412" i="87"/>
  <c r="A411" i="87"/>
  <c r="A410" i="87"/>
  <c r="A409" i="87"/>
  <c r="A407" i="87"/>
  <c r="A408" i="87"/>
  <c r="A406" i="87"/>
  <c r="A404" i="87"/>
  <c r="A405" i="87"/>
  <c r="A403" i="87"/>
  <c r="A402" i="87"/>
  <c r="A401" i="87"/>
  <c r="A400" i="87"/>
  <c r="A399" i="87"/>
  <c r="A398" i="87"/>
  <c r="A397" i="87"/>
  <c r="A396" i="87"/>
  <c r="A395" i="87"/>
  <c r="A394" i="87"/>
  <c r="A393" i="87"/>
  <c r="A392" i="87"/>
  <c r="A391" i="87"/>
  <c r="A390" i="87"/>
  <c r="A389" i="87"/>
  <c r="A388" i="87"/>
  <c r="A387" i="87"/>
  <c r="A386" i="87"/>
  <c r="A385" i="87"/>
  <c r="A384" i="87"/>
  <c r="A383" i="87"/>
  <c r="A382" i="87"/>
  <c r="A381" i="87"/>
  <c r="A380" i="87"/>
  <c r="A379" i="87"/>
  <c r="A378" i="87"/>
  <c r="A377" i="87"/>
  <c r="A376" i="87"/>
  <c r="A375" i="87"/>
  <c r="A374" i="87"/>
  <c r="A371" i="87"/>
  <c r="A373" i="87"/>
  <c r="A372" i="87"/>
  <c r="A370" i="87"/>
  <c r="A367" i="87"/>
  <c r="A366" i="87"/>
  <c r="A369" i="87"/>
  <c r="A368" i="87"/>
  <c r="A365" i="87"/>
  <c r="A362" i="87"/>
  <c r="A364" i="87"/>
  <c r="A363" i="87"/>
  <c r="A361" i="87"/>
  <c r="A360" i="87"/>
  <c r="A359" i="87"/>
  <c r="A358" i="87"/>
  <c r="A357" i="87"/>
  <c r="A354" i="87"/>
  <c r="A356" i="87"/>
  <c r="A355" i="87"/>
  <c r="A353" i="87"/>
  <c r="A350" i="87"/>
  <c r="A349" i="87"/>
  <c r="A352" i="87"/>
  <c r="A351" i="87"/>
  <c r="A348" i="87"/>
  <c r="A343" i="87"/>
  <c r="A347" i="87"/>
  <c r="A346" i="87"/>
  <c r="A345" i="87"/>
  <c r="A344" i="87"/>
  <c r="A342" i="87"/>
  <c r="A341" i="87"/>
  <c r="A340" i="87"/>
  <c r="A337" i="87"/>
  <c r="A336" i="87"/>
  <c r="A339" i="87"/>
  <c r="A338" i="87"/>
  <c r="A335" i="87"/>
  <c r="A332" i="87"/>
  <c r="A334" i="87"/>
  <c r="A333" i="87"/>
  <c r="A331" i="87"/>
  <c r="A327" i="87"/>
  <c r="A330" i="87"/>
  <c r="A329" i="87"/>
  <c r="A328" i="87"/>
  <c r="A326" i="87"/>
  <c r="A325" i="87"/>
  <c r="A324" i="87"/>
  <c r="A321" i="87"/>
  <c r="A320" i="87"/>
  <c r="A323" i="87"/>
  <c r="A322" i="87"/>
  <c r="A319" i="87"/>
  <c r="A316" i="87"/>
  <c r="A318" i="87"/>
  <c r="A317" i="87"/>
  <c r="A315" i="87"/>
  <c r="A311" i="87"/>
  <c r="A314" i="87"/>
  <c r="A313" i="87"/>
  <c r="A312" i="87"/>
  <c r="A310" i="87"/>
  <c r="A308" i="87"/>
  <c r="A309" i="87"/>
  <c r="A307" i="87"/>
  <c r="A305" i="87"/>
  <c r="A304" i="87"/>
  <c r="A306" i="87"/>
  <c r="A303" i="87"/>
  <c r="A302" i="87"/>
  <c r="A301" i="87"/>
  <c r="A300" i="87"/>
  <c r="A299" i="87"/>
  <c r="A298" i="87"/>
  <c r="A297" i="87"/>
  <c r="A296" i="87"/>
  <c r="A295" i="87"/>
  <c r="A293" i="87"/>
  <c r="A294" i="87"/>
  <c r="A292" i="87"/>
  <c r="A290" i="87"/>
  <c r="A291" i="87"/>
  <c r="A289" i="87"/>
  <c r="A287" i="87"/>
  <c r="A288" i="87"/>
  <c r="A286" i="87"/>
  <c r="A284" i="87"/>
  <c r="A285" i="87"/>
  <c r="A283" i="87"/>
  <c r="A281" i="87"/>
  <c r="A282" i="87"/>
  <c r="A280" i="87"/>
  <c r="A278" i="87"/>
  <c r="A279" i="87"/>
  <c r="A277" i="87"/>
  <c r="A275" i="87"/>
  <c r="A276" i="87"/>
  <c r="A274" i="87"/>
  <c r="A272" i="87"/>
  <c r="A273" i="87"/>
  <c r="A271" i="87"/>
  <c r="A268" i="87"/>
  <c r="A267" i="87"/>
  <c r="A270" i="87"/>
  <c r="A269" i="87"/>
  <c r="A266" i="87"/>
  <c r="A265" i="87"/>
  <c r="A264" i="87"/>
  <c r="A263" i="87"/>
  <c r="A262" i="87"/>
  <c r="A261" i="87"/>
  <c r="A260" i="87"/>
  <c r="A259" i="87"/>
  <c r="A258" i="87"/>
  <c r="A257" i="87"/>
  <c r="A256" i="87"/>
  <c r="A255" i="87"/>
  <c r="A254" i="87"/>
  <c r="A253" i="87"/>
  <c r="A252" i="87"/>
  <c r="A251" i="87"/>
  <c r="A250" i="87"/>
  <c r="A249" i="87"/>
  <c r="A248" i="87"/>
  <c r="A247" i="87"/>
  <c r="A246" i="87"/>
  <c r="A245" i="87"/>
  <c r="A244" i="87"/>
  <c r="A242" i="87"/>
  <c r="A243" i="87"/>
  <c r="A241" i="87"/>
  <c r="A239" i="87"/>
  <c r="A240" i="87"/>
  <c r="A238" i="87"/>
  <c r="A236" i="87"/>
  <c r="A237" i="87"/>
  <c r="A235" i="87"/>
  <c r="A233" i="87"/>
  <c r="A234" i="87"/>
  <c r="A232" i="87"/>
  <c r="A231" i="87"/>
  <c r="A230" i="87"/>
  <c r="A229" i="87"/>
  <c r="A228" i="87"/>
  <c r="A227" i="87"/>
  <c r="A226" i="87"/>
  <c r="A225" i="87"/>
  <c r="A224" i="87"/>
  <c r="A223" i="87"/>
  <c r="A222" i="87"/>
  <c r="A221" i="87"/>
  <c r="A220" i="87"/>
  <c r="A219" i="87"/>
  <c r="A218" i="87"/>
  <c r="A217" i="87"/>
  <c r="A216" i="87"/>
  <c r="A215" i="87"/>
  <c r="A214" i="87"/>
  <c r="A213" i="87"/>
  <c r="A212" i="87"/>
  <c r="A211" i="87"/>
  <c r="A210" i="87"/>
  <c r="A209" i="87"/>
  <c r="A207" i="87"/>
  <c r="A208" i="87"/>
  <c r="A206" i="87"/>
  <c r="A204" i="87"/>
  <c r="A205" i="87"/>
  <c r="A203" i="87"/>
  <c r="A201" i="87"/>
  <c r="A202" i="87"/>
  <c r="A200" i="87"/>
  <c r="A199" i="87"/>
  <c r="A198" i="87"/>
  <c r="A197" i="87"/>
  <c r="A196" i="87"/>
  <c r="A194" i="87"/>
  <c r="A195" i="87"/>
  <c r="A193" i="87"/>
  <c r="A191" i="87"/>
  <c r="A192" i="87"/>
  <c r="A190" i="87"/>
  <c r="A189" i="87"/>
  <c r="A188" i="87"/>
  <c r="A187" i="87"/>
  <c r="A186" i="87"/>
  <c r="A185" i="87"/>
  <c r="A184" i="87"/>
  <c r="A183" i="87"/>
  <c r="A182" i="87"/>
  <c r="A181" i="87"/>
  <c r="A180" i="87"/>
  <c r="A179" i="87"/>
  <c r="A177" i="87"/>
  <c r="A178" i="87"/>
  <c r="A176" i="87"/>
  <c r="A174" i="87"/>
  <c r="A175" i="87"/>
  <c r="A173" i="87"/>
  <c r="A172" i="87"/>
  <c r="A171" i="87"/>
  <c r="A170" i="87"/>
  <c r="A169" i="87"/>
  <c r="A168" i="87"/>
  <c r="A167" i="87"/>
  <c r="A166" i="87"/>
  <c r="A165" i="87"/>
  <c r="A164" i="87"/>
  <c r="A163" i="87"/>
  <c r="A161" i="87"/>
  <c r="A162" i="87"/>
  <c r="A160" i="87"/>
  <c r="A159" i="87"/>
  <c r="A158" i="87"/>
  <c r="A157" i="87"/>
  <c r="A156" i="87"/>
  <c r="A153" i="87"/>
  <c r="A155" i="87"/>
  <c r="A154" i="87"/>
  <c r="A152" i="87"/>
  <c r="A150" i="87"/>
  <c r="A151" i="87"/>
  <c r="A149" i="87"/>
  <c r="A148" i="87"/>
  <c r="A147" i="87"/>
  <c r="A145" i="87"/>
  <c r="A146" i="87"/>
  <c r="A144" i="87"/>
  <c r="A143" i="87"/>
  <c r="A142" i="87"/>
  <c r="A140" i="87"/>
  <c r="A141" i="87"/>
  <c r="A139" i="87"/>
  <c r="A136" i="87"/>
  <c r="A138" i="87"/>
  <c r="A137" i="87"/>
  <c r="A135" i="87"/>
  <c r="A134" i="87"/>
  <c r="A133" i="87"/>
  <c r="A132" i="87"/>
  <c r="A131" i="87"/>
  <c r="A129" i="87"/>
  <c r="A130" i="87"/>
  <c r="A128" i="87"/>
  <c r="A126" i="87"/>
  <c r="A127" i="87"/>
  <c r="A125" i="87"/>
  <c r="A123" i="87"/>
  <c r="A124" i="87"/>
  <c r="A122" i="87"/>
  <c r="A120" i="87"/>
  <c r="A121" i="87"/>
  <c r="A119" i="87"/>
  <c r="A118" i="87"/>
  <c r="A117" i="87"/>
  <c r="A115" i="87"/>
  <c r="A116" i="87"/>
  <c r="A114" i="87"/>
  <c r="A112" i="87"/>
  <c r="A113" i="87"/>
  <c r="A111" i="87"/>
  <c r="A109" i="87"/>
  <c r="A110" i="87"/>
  <c r="A108" i="87"/>
  <c r="A106" i="87"/>
  <c r="A107" i="87"/>
  <c r="A105" i="87"/>
  <c r="A104" i="87"/>
  <c r="A103" i="87"/>
  <c r="A96" i="87"/>
  <c r="A95" i="87"/>
  <c r="A93" i="87"/>
  <c r="A94" i="87"/>
  <c r="A92" i="87"/>
  <c r="A90" i="87"/>
  <c r="A91" i="87"/>
  <c r="A89" i="87"/>
  <c r="A88" i="87"/>
  <c r="A87" i="87"/>
  <c r="A86" i="87"/>
  <c r="A85" i="87"/>
  <c r="A84" i="87"/>
  <c r="A83" i="87"/>
  <c r="A82" i="87"/>
  <c r="A81" i="87"/>
  <c r="A80" i="87"/>
  <c r="A79" i="87"/>
  <c r="A78" i="87"/>
  <c r="A77" i="87"/>
  <c r="A76" i="87"/>
  <c r="A75" i="87"/>
  <c r="A74" i="87"/>
  <c r="A73" i="87"/>
  <c r="A72" i="87"/>
  <c r="A71" i="87"/>
  <c r="A70" i="87"/>
  <c r="A69" i="87"/>
  <c r="A66" i="87"/>
  <c r="A68" i="87"/>
  <c r="A67" i="87"/>
  <c r="A65" i="87"/>
  <c r="A63" i="87"/>
  <c r="A64" i="87"/>
  <c r="A62" i="87"/>
  <c r="A61" i="87"/>
  <c r="A60" i="87"/>
  <c r="A55" i="87"/>
  <c r="A54" i="87"/>
  <c r="A53" i="87"/>
  <c r="A52" i="87"/>
  <c r="A51" i="87"/>
  <c r="A50" i="87"/>
  <c r="A49" i="87"/>
  <c r="A48" i="87"/>
  <c r="A47" i="87"/>
  <c r="A46" i="87"/>
  <c r="A45" i="87"/>
  <c r="A44" i="87"/>
  <c r="A43" i="87"/>
  <c r="A42" i="87"/>
  <c r="A41" i="87"/>
  <c r="A40" i="87"/>
  <c r="A39" i="87"/>
  <c r="A38" i="87"/>
  <c r="A37" i="87"/>
  <c r="A36" i="87"/>
  <c r="A35" i="87"/>
  <c r="A34" i="87"/>
  <c r="A33" i="87"/>
  <c r="A32" i="87"/>
  <c r="A31" i="87"/>
  <c r="A30" i="87"/>
  <c r="A29" i="87"/>
  <c r="A28" i="87"/>
  <c r="A27" i="87"/>
  <c r="A26" i="87"/>
  <c r="A25" i="87"/>
  <c r="A24" i="87"/>
  <c r="A23" i="87"/>
  <c r="A22" i="87"/>
  <c r="A21" i="87"/>
  <c r="A20" i="87"/>
  <c r="A19" i="87"/>
  <c r="A18" i="87"/>
  <c r="A17" i="87"/>
  <c r="A16" i="87"/>
  <c r="A15" i="87"/>
  <c r="A14" i="87"/>
  <c r="A13" i="87"/>
  <c r="A12" i="87"/>
  <c r="A11" i="87"/>
  <c r="A10" i="87"/>
  <c r="A9" i="87"/>
  <c r="A8" i="87"/>
  <c r="A7" i="87"/>
  <c r="A6" i="87"/>
  <c r="A5" i="87"/>
  <c r="A4" i="87"/>
  <c r="A3" i="87"/>
  <c r="A2" i="87"/>
  <c r="H32" i="73" a="1"/>
  <c r="H32" i="73" s="1"/>
  <c r="I32" i="73" a="1"/>
  <c r="I32" i="73" s="1"/>
  <c r="H37" i="73" a="1"/>
  <c r="H37" i="73" s="1"/>
  <c r="I37" i="73" a="1"/>
  <c r="I37" i="73" s="1"/>
  <c r="H55" i="73" a="1"/>
  <c r="H55" i="73" s="1"/>
  <c r="I55" i="73" a="1"/>
  <c r="I55" i="73" s="1"/>
  <c r="H61" i="73" a="1"/>
  <c r="H61" i="73" s="1"/>
  <c r="I61" i="73" a="1"/>
  <c r="I61" i="73" s="1"/>
  <c r="H69" i="73" a="1"/>
  <c r="H69" i="73" s="1"/>
  <c r="I69" i="73" a="1"/>
  <c r="I69" i="73" s="1"/>
  <c r="H75" i="73" a="1"/>
  <c r="H75" i="73" s="1"/>
  <c r="I75" i="73" a="1"/>
  <c r="I75" i="73" s="1"/>
  <c r="H89" i="73" a="1"/>
  <c r="H89" i="73" s="1"/>
  <c r="I89" i="73" a="1"/>
  <c r="I89" i="73" s="1"/>
  <c r="H94" i="73" a="1"/>
  <c r="H94" i="73" s="1"/>
  <c r="I94" i="73" a="1"/>
  <c r="I94" i="73" s="1"/>
  <c r="H102" i="73" a="1"/>
  <c r="H102" i="73" s="1"/>
  <c r="I102" i="73" a="1"/>
  <c r="I102" i="73" s="1"/>
  <c r="H114" i="73" a="1"/>
  <c r="H114" i="73" s="1"/>
  <c r="I114" i="73" a="1"/>
  <c r="I114" i="73" s="1"/>
  <c r="H121" i="73" a="1"/>
  <c r="H121" i="73" s="1"/>
  <c r="I121" i="73" a="1"/>
  <c r="I121" i="73" s="1"/>
  <c r="H124" i="73" a="1"/>
  <c r="H124" i="73" s="1"/>
  <c r="I124" i="73" a="1"/>
  <c r="I124" i="73" s="1"/>
  <c r="H131" i="73" a="1"/>
  <c r="H131" i="73" s="1"/>
  <c r="I131" i="73" a="1"/>
  <c r="I131" i="73" s="1"/>
  <c r="H137" i="73" a="1"/>
  <c r="H137" i="73" s="1"/>
  <c r="I137" i="73" a="1"/>
  <c r="I137" i="73" s="1"/>
  <c r="H143" i="73" a="1"/>
  <c r="H143" i="73" s="1"/>
  <c r="I143" i="73" a="1"/>
  <c r="I143" i="73" s="1"/>
  <c r="H145" i="73" a="1"/>
  <c r="H145" i="73" s="1"/>
  <c r="I145" i="73" a="1"/>
  <c r="I145" i="73" s="1"/>
  <c r="H147" i="73" a="1"/>
  <c r="H147" i="73" s="1"/>
  <c r="I147" i="73" a="1"/>
  <c r="I147" i="73" s="1"/>
  <c r="H150" i="73" a="1"/>
  <c r="H150" i="73" s="1"/>
  <c r="I150" i="73" a="1"/>
  <c r="I150" i="73" s="1"/>
  <c r="H169" i="73" a="1"/>
  <c r="H169" i="73" s="1"/>
  <c r="I169" i="73" a="1"/>
  <c r="I169" i="73" s="1"/>
  <c r="H179" i="73" a="1"/>
  <c r="H179" i="73" s="1"/>
  <c r="I179" i="73" a="1"/>
  <c r="I179" i="73" s="1"/>
  <c r="H181" i="73" a="1"/>
  <c r="H181" i="73" s="1"/>
  <c r="I181" i="73" a="1"/>
  <c r="I181" i="73" s="1"/>
  <c r="H186" i="73" a="1"/>
  <c r="H186" i="73" s="1"/>
  <c r="I186" i="73" a="1"/>
  <c r="I186" i="73" s="1"/>
  <c r="H192" i="73" a="1"/>
  <c r="H192" i="73" s="1"/>
  <c r="I192" i="73" a="1"/>
  <c r="I192" i="73" s="1"/>
  <c r="H210" i="73" a="1"/>
  <c r="H210" i="73" s="1"/>
  <c r="I210" i="73" a="1"/>
  <c r="I210" i="73" s="1"/>
  <c r="H216" i="73" a="1"/>
  <c r="H216" i="73" s="1"/>
  <c r="I216" i="73" a="1"/>
  <c r="I216" i="73" s="1"/>
  <c r="H223" i="73" a="1"/>
  <c r="H223" i="73" s="1"/>
  <c r="I223" i="73" a="1"/>
  <c r="I223" i="73" s="1"/>
  <c r="H243" i="73" a="1"/>
  <c r="H243" i="73" s="1"/>
  <c r="I243" i="73" a="1"/>
  <c r="I243" i="73" s="1"/>
  <c r="H251" i="73" a="1"/>
  <c r="H251" i="73" s="1"/>
  <c r="I251" i="73" a="1"/>
  <c r="I251" i="73" s="1"/>
  <c r="H259" i="73" a="1"/>
  <c r="H259" i="73" s="1"/>
  <c r="I259" i="73" a="1"/>
  <c r="I259" i="73" s="1"/>
  <c r="H275" i="73" a="1"/>
  <c r="H275" i="73" s="1"/>
  <c r="I275" i="73" a="1"/>
  <c r="I275" i="73" s="1"/>
  <c r="H280" i="73" a="1"/>
  <c r="H280" i="73" s="1"/>
  <c r="I280" i="73" a="1"/>
  <c r="I280" i="73" s="1"/>
  <c r="I2" i="73" a="1"/>
  <c r="I2" i="73" s="1"/>
  <c r="H2" i="73" a="1"/>
  <c r="H2" i="73" s="1"/>
  <c r="G32" i="73" a="1"/>
  <c r="G32" i="73" s="1"/>
  <c r="G37" i="73" a="1"/>
  <c r="G37" i="73" s="1"/>
  <c r="G55" i="73" a="1"/>
  <c r="G55" i="73" s="1"/>
  <c r="G61" i="73" a="1"/>
  <c r="G61" i="73" s="1"/>
  <c r="G69" i="73" a="1"/>
  <c r="G69" i="73" s="1"/>
  <c r="G75" i="73" a="1"/>
  <c r="G75" i="73" s="1"/>
  <c r="G89" i="73" a="1"/>
  <c r="G89" i="73" s="1"/>
  <c r="G94" i="73" a="1"/>
  <c r="G94" i="73" s="1"/>
  <c r="G102" i="73" a="1"/>
  <c r="G102" i="73" s="1"/>
  <c r="G114" i="73" a="1"/>
  <c r="G114" i="73" s="1"/>
  <c r="G121" i="73" a="1"/>
  <c r="G121" i="73" s="1"/>
  <c r="G124" i="73" a="1"/>
  <c r="G124" i="73" s="1"/>
  <c r="G131" i="73" a="1"/>
  <c r="G131" i="73" s="1"/>
  <c r="G137" i="73" a="1"/>
  <c r="G137" i="73" s="1"/>
  <c r="G143" i="73" a="1"/>
  <c r="G143" i="73" s="1"/>
  <c r="G145" i="73" a="1"/>
  <c r="G145" i="73" s="1"/>
  <c r="G147" i="73" a="1"/>
  <c r="G147" i="73" s="1"/>
  <c r="G150" i="73" a="1"/>
  <c r="G150" i="73" s="1"/>
  <c r="G169" i="73" a="1"/>
  <c r="G169" i="73" s="1"/>
  <c r="G179" i="73" a="1"/>
  <c r="G179" i="73" s="1"/>
  <c r="G181" i="73" a="1"/>
  <c r="G181" i="73" s="1"/>
  <c r="G186" i="73" a="1"/>
  <c r="G186" i="73" s="1"/>
  <c r="G192" i="73" a="1"/>
  <c r="G192" i="73" s="1"/>
  <c r="G210" i="73" a="1"/>
  <c r="G210" i="73" s="1"/>
  <c r="G216" i="73" a="1"/>
  <c r="G216" i="73" s="1"/>
  <c r="G223" i="73" a="1"/>
  <c r="G223" i="73" s="1"/>
  <c r="G243" i="73" a="1"/>
  <c r="G243" i="73" s="1"/>
  <c r="G251" i="73" a="1"/>
  <c r="G251" i="73" s="1"/>
  <c r="G259" i="73" a="1"/>
  <c r="G259" i="73" s="1"/>
  <c r="G275" i="73" a="1"/>
  <c r="G275" i="73" s="1"/>
  <c r="G280" i="73" a="1"/>
  <c r="G280" i="73" s="1"/>
  <c r="G2" i="73" a="1"/>
  <c r="G2" i="73" s="1"/>
  <c r="F32" i="73" a="1"/>
  <c r="F32" i="73" s="1"/>
  <c r="F37" i="73" a="1"/>
  <c r="F37" i="73" s="1"/>
  <c r="F55" i="73" a="1"/>
  <c r="F55" i="73" s="1"/>
  <c r="F61" i="73" a="1"/>
  <c r="F61" i="73" s="1"/>
  <c r="F69" i="73" a="1"/>
  <c r="F69" i="73" s="1"/>
  <c r="F75" i="73" a="1"/>
  <c r="F75" i="73" s="1"/>
  <c r="F89" i="73" a="1"/>
  <c r="F89" i="73" s="1"/>
  <c r="F94" i="73" a="1"/>
  <c r="F94" i="73" s="1"/>
  <c r="F102" i="73" a="1"/>
  <c r="F102" i="73" s="1"/>
  <c r="F114" i="73" a="1"/>
  <c r="F114" i="73" s="1"/>
  <c r="F121" i="73" a="1"/>
  <c r="F121" i="73" s="1"/>
  <c r="F124" i="73" a="1"/>
  <c r="F124" i="73" s="1"/>
  <c r="F131" i="73" a="1"/>
  <c r="F131" i="73" s="1"/>
  <c r="F137" i="73" a="1"/>
  <c r="F137" i="73" s="1"/>
  <c r="F143" i="73" a="1"/>
  <c r="F143" i="73" s="1"/>
  <c r="F145" i="73" a="1"/>
  <c r="F145" i="73" s="1"/>
  <c r="F147" i="73" a="1"/>
  <c r="F147" i="73" s="1"/>
  <c r="F150" i="73" a="1"/>
  <c r="F150" i="73" s="1"/>
  <c r="F169" i="73" a="1"/>
  <c r="F169" i="73" s="1"/>
  <c r="F179" i="73" a="1"/>
  <c r="F179" i="73" s="1"/>
  <c r="F181" i="73" a="1"/>
  <c r="F181" i="73" s="1"/>
  <c r="F186" i="73" a="1"/>
  <c r="F186" i="73" s="1"/>
  <c r="F192" i="73" a="1"/>
  <c r="F192" i="73" s="1"/>
  <c r="F210" i="73" a="1"/>
  <c r="F210" i="73" s="1"/>
  <c r="F216" i="73" a="1"/>
  <c r="F216" i="73" s="1"/>
  <c r="F223" i="73" a="1"/>
  <c r="F223" i="73" s="1"/>
  <c r="F243" i="73" a="1"/>
  <c r="F243" i="73" s="1"/>
  <c r="F251" i="73" a="1"/>
  <c r="F251" i="73" s="1"/>
  <c r="F259" i="73" a="1"/>
  <c r="F259" i="73" s="1"/>
  <c r="F275" i="73" a="1"/>
  <c r="F275" i="73" s="1"/>
  <c r="F280" i="73" a="1"/>
  <c r="F280" i="73" s="1"/>
  <c r="F2" i="73" a="1"/>
  <c r="F2" i="73" s="1"/>
  <c r="N40" i="33"/>
  <c r="M40" i="33"/>
  <c r="L40" i="33"/>
  <c r="K40" i="33"/>
  <c r="J40" i="33"/>
  <c r="I40" i="33"/>
  <c r="H40" i="33"/>
  <c r="G40" i="33"/>
  <c r="F40" i="33"/>
  <c r="E40" i="33"/>
  <c r="N39" i="33"/>
  <c r="M39" i="33"/>
  <c r="L39" i="33"/>
  <c r="K39" i="33"/>
  <c r="J39" i="33"/>
  <c r="I39" i="33"/>
  <c r="H39" i="33"/>
  <c r="G39" i="33"/>
  <c r="F39" i="33"/>
  <c r="E39" i="33"/>
  <c r="N38" i="33"/>
  <c r="M38" i="33"/>
  <c r="L38" i="33"/>
  <c r="K38" i="33"/>
  <c r="J38" i="33"/>
  <c r="I38" i="33"/>
  <c r="H38" i="33"/>
  <c r="G38" i="33"/>
  <c r="F38" i="33"/>
  <c r="E38" i="33"/>
  <c r="N37" i="33"/>
  <c r="M37" i="33"/>
  <c r="L37" i="33"/>
  <c r="K37" i="33"/>
  <c r="J37" i="33"/>
  <c r="I37" i="33"/>
  <c r="H37" i="33"/>
  <c r="G37" i="33"/>
  <c r="F37" i="33"/>
  <c r="E37" i="33"/>
  <c r="N36" i="33"/>
  <c r="M36" i="33"/>
  <c r="L36" i="33"/>
  <c r="K36" i="33"/>
  <c r="J36" i="33"/>
  <c r="I36" i="33"/>
  <c r="H36" i="33"/>
  <c r="G36" i="33"/>
  <c r="F36" i="33"/>
  <c r="E36" i="33"/>
  <c r="N35" i="33"/>
  <c r="M35" i="33"/>
  <c r="L35" i="33"/>
  <c r="K35" i="33"/>
  <c r="J35" i="33"/>
  <c r="I35" i="33"/>
  <c r="H35" i="33"/>
  <c r="G35" i="33"/>
  <c r="F35" i="33"/>
  <c r="E35" i="33"/>
  <c r="N34" i="33"/>
  <c r="M34" i="33"/>
  <c r="L34" i="33"/>
  <c r="K34" i="33"/>
  <c r="J34" i="33"/>
  <c r="I34" i="33"/>
  <c r="H34" i="33"/>
  <c r="G34" i="33"/>
  <c r="F34" i="33"/>
  <c r="E34" i="33"/>
  <c r="N33" i="33"/>
  <c r="M33" i="33"/>
  <c r="K33" i="33"/>
  <c r="I33" i="33"/>
  <c r="H33" i="33"/>
  <c r="G33" i="33"/>
  <c r="F33" i="33"/>
  <c r="E33" i="33"/>
  <c r="N32" i="33"/>
  <c r="M32" i="33"/>
  <c r="L32" i="33"/>
  <c r="K32" i="33"/>
  <c r="J32" i="33"/>
  <c r="I32" i="33"/>
  <c r="H32" i="33"/>
  <c r="G32" i="33"/>
  <c r="F32" i="33"/>
  <c r="E32" i="33"/>
  <c r="M31" i="33"/>
  <c r="I31" i="33"/>
  <c r="H31" i="33"/>
  <c r="G31" i="33"/>
  <c r="F31" i="33"/>
  <c r="E31" i="33"/>
  <c r="M30" i="33"/>
  <c r="K30" i="33"/>
  <c r="I30" i="33"/>
  <c r="H30" i="33"/>
  <c r="F30" i="33"/>
  <c r="E30" i="33"/>
  <c r="E29" i="33"/>
  <c r="L28" i="33"/>
  <c r="M27" i="33"/>
  <c r="K27" i="33"/>
  <c r="I27" i="33"/>
  <c r="H27" i="33"/>
  <c r="E27" i="33"/>
  <c r="M26" i="33"/>
  <c r="I26" i="33"/>
  <c r="H26" i="33"/>
  <c r="E26" i="33"/>
  <c r="I25" i="33"/>
  <c r="H25" i="33"/>
  <c r="E25" i="33"/>
  <c r="K24" i="33"/>
  <c r="E24" i="33"/>
  <c r="H23" i="33"/>
  <c r="E23" i="33"/>
  <c r="F22" i="33"/>
  <c r="E22" i="33"/>
  <c r="M21" i="33"/>
  <c r="I21" i="33"/>
  <c r="E21" i="33"/>
  <c r="M20" i="33"/>
  <c r="K20" i="33"/>
  <c r="G20" i="33"/>
  <c r="E20" i="33"/>
  <c r="I19" i="33"/>
  <c r="H19" i="33"/>
  <c r="E19" i="33"/>
  <c r="L18" i="33"/>
  <c r="K18" i="33"/>
  <c r="E18" i="33"/>
  <c r="J17" i="33"/>
  <c r="I17" i="33"/>
  <c r="H17" i="33"/>
  <c r="E17" i="33"/>
  <c r="G16" i="33"/>
  <c r="F15" i="33"/>
  <c r="E15" i="33"/>
  <c r="M14" i="33"/>
  <c r="I14" i="33"/>
  <c r="H14" i="33"/>
  <c r="E14" i="33"/>
  <c r="I13" i="33"/>
  <c r="H13" i="33"/>
  <c r="E13" i="33"/>
  <c r="N12" i="33"/>
  <c r="I12" i="33"/>
  <c r="H12" i="33"/>
  <c r="F12" i="33"/>
  <c r="E12" i="33"/>
  <c r="N11" i="33"/>
  <c r="M11" i="33"/>
  <c r="L11" i="33"/>
  <c r="K11" i="33"/>
  <c r="J11" i="33"/>
  <c r="I11" i="33"/>
  <c r="H11" i="33"/>
  <c r="G11" i="33"/>
  <c r="F11" i="33"/>
  <c r="E11" i="33"/>
  <c r="N10" i="33"/>
  <c r="M10" i="33"/>
  <c r="L10" i="33"/>
  <c r="K10" i="33"/>
  <c r="J10" i="33"/>
  <c r="I10" i="33"/>
  <c r="H10" i="33"/>
  <c r="G10" i="33"/>
  <c r="F10" i="33"/>
  <c r="E10" i="33"/>
  <c r="N9" i="33"/>
  <c r="M9" i="33"/>
  <c r="L9" i="33"/>
  <c r="K9" i="33"/>
  <c r="J9" i="33"/>
  <c r="I9" i="33"/>
  <c r="H9" i="33"/>
  <c r="G9" i="33"/>
  <c r="F9" i="33"/>
  <c r="E9" i="33"/>
  <c r="J41" i="88" l="1"/>
  <c r="I41" i="88"/>
  <c r="B3" i="88" s="1"/>
  <c r="J97" i="87"/>
  <c r="J98" i="87"/>
  <c r="J101" i="87"/>
  <c r="J102" i="87"/>
  <c r="J100" i="87"/>
  <c r="J99" i="87"/>
  <c r="J57" i="87"/>
  <c r="J59" i="87"/>
  <c r="J56" i="87"/>
  <c r="J58" i="87"/>
  <c r="J221" i="87"/>
  <c r="G10" i="41" s="1"/>
  <c r="J61" i="87"/>
  <c r="C10" i="51" s="1"/>
  <c r="J62" i="87"/>
  <c r="D10" i="51" s="1"/>
  <c r="J373" i="87"/>
  <c r="Q10" i="53" s="1"/>
  <c r="J91" i="87"/>
  <c r="J346" i="87"/>
  <c r="J440" i="87"/>
  <c r="G10" i="62" s="1"/>
  <c r="J202" i="87"/>
  <c r="F10" i="43" s="1"/>
  <c r="J146" i="87"/>
  <c r="E10" i="38" s="1"/>
  <c r="J291" i="87"/>
  <c r="D10" i="48" s="1"/>
  <c r="J317" i="87"/>
  <c r="J141" i="87"/>
  <c r="C10" i="38" s="1"/>
  <c r="J285" i="87"/>
  <c r="B10" i="48" s="1"/>
  <c r="J68" i="87"/>
  <c r="B10" i="34" s="1"/>
  <c r="J49" i="87"/>
  <c r="J41" i="87"/>
  <c r="J377" i="87"/>
  <c r="S10" i="53" s="1"/>
  <c r="J34" i="87"/>
  <c r="J32" i="87"/>
  <c r="J367" i="87"/>
  <c r="J567" i="87"/>
  <c r="O10" i="68" s="1"/>
  <c r="J458" i="87"/>
  <c r="J180" i="87"/>
  <c r="N10" i="39" s="1"/>
  <c r="J25" i="87"/>
  <c r="J563" i="87"/>
  <c r="J504" i="87"/>
  <c r="L10" i="65" s="1"/>
  <c r="J503" i="87"/>
  <c r="J502" i="87"/>
  <c r="K10" i="65" s="1"/>
  <c r="J450" i="87"/>
  <c r="J501" i="87"/>
  <c r="J10" i="65" s="1"/>
  <c r="J557" i="87"/>
  <c r="J601" i="87"/>
  <c r="I10" i="70" s="1"/>
  <c r="J168" i="87"/>
  <c r="I10" i="39" s="1"/>
  <c r="J224" i="87"/>
  <c r="J499" i="87"/>
  <c r="H10" i="65" s="1"/>
  <c r="J134" i="87"/>
  <c r="H10" i="37" s="1"/>
  <c r="J394" i="87"/>
  <c r="J13" i="87"/>
  <c r="J439" i="87"/>
  <c r="J132" i="87"/>
  <c r="G10" i="37" s="1"/>
  <c r="J490" i="87"/>
  <c r="J219" i="87"/>
  <c r="J543" i="87"/>
  <c r="F10" i="67" s="1"/>
  <c r="J327" i="87"/>
  <c r="J148" i="87"/>
  <c r="F10" i="38" s="1"/>
  <c r="J528" i="87"/>
  <c r="J326" i="87"/>
  <c r="J147" i="87"/>
  <c r="J527" i="87"/>
  <c r="E10" i="66" s="1"/>
  <c r="J325" i="87"/>
  <c r="E10" i="53" s="1"/>
  <c r="J159" i="87"/>
  <c r="E10" i="39" s="1"/>
  <c r="J578" i="87"/>
  <c r="J420" i="87"/>
  <c r="J241" i="87"/>
  <c r="J73" i="87"/>
  <c r="J472" i="87"/>
  <c r="J259" i="87"/>
  <c r="D10" i="46" s="1"/>
  <c r="J109" i="87"/>
  <c r="J482" i="87"/>
  <c r="J319" i="87"/>
  <c r="J185" i="87"/>
  <c r="J573" i="87"/>
  <c r="C10" i="69" s="1"/>
  <c r="J416" i="87"/>
  <c r="C10" i="60" s="1"/>
  <c r="J253" i="87"/>
  <c r="C10" i="44" s="1"/>
  <c r="J106" i="87"/>
  <c r="J469" i="87"/>
  <c r="J286" i="87"/>
  <c r="J183" i="87"/>
  <c r="J548" i="87"/>
  <c r="B10" i="68" s="1"/>
  <c r="J404" i="87"/>
  <c r="J268" i="87"/>
  <c r="J136" i="87"/>
  <c r="J534" i="87"/>
  <c r="J403" i="87"/>
  <c r="J301" i="87"/>
  <c r="J249" i="87"/>
  <c r="J117" i="87"/>
  <c r="J155" i="87"/>
  <c r="C10" i="39" s="1"/>
  <c r="J365" i="87"/>
  <c r="J20" i="87"/>
  <c r="J207" i="87"/>
  <c r="J246" i="87"/>
  <c r="J412" i="87"/>
  <c r="E10" i="59" s="1"/>
  <c r="J495" i="87"/>
  <c r="D10" i="65" s="1"/>
  <c r="J372" i="87"/>
  <c r="J356" i="87"/>
  <c r="L10" i="53" s="1"/>
  <c r="J345" i="87"/>
  <c r="J334" i="87"/>
  <c r="G10" i="53" s="1"/>
  <c r="J162" i="87"/>
  <c r="F10" i="39" s="1"/>
  <c r="J127" i="87"/>
  <c r="E10" i="37" s="1"/>
  <c r="J276" i="87"/>
  <c r="D10" i="47" s="1"/>
  <c r="J309" i="87"/>
  <c r="C10" i="55" s="1"/>
  <c r="J121" i="87"/>
  <c r="C10" i="37" s="1"/>
  <c r="J270" i="87"/>
  <c r="B10" i="47" s="1"/>
  <c r="J67" i="87"/>
  <c r="J48" i="87"/>
  <c r="J40" i="87"/>
  <c r="J36" i="87"/>
  <c r="J515" i="87"/>
  <c r="J513" i="87"/>
  <c r="J30" i="87"/>
  <c r="J510" i="87"/>
  <c r="O10" i="65" s="1"/>
  <c r="J361" i="87"/>
  <c r="J93" i="87"/>
  <c r="J564" i="87"/>
  <c r="M10" i="68" s="1"/>
  <c r="J505" i="87"/>
  <c r="J453" i="87"/>
  <c r="L10" i="62" s="1"/>
  <c r="J452" i="87"/>
  <c r="J451" i="87"/>
  <c r="K10" i="62" s="1"/>
  <c r="J349" i="87"/>
  <c r="J448" i="87"/>
  <c r="J447" i="87"/>
  <c r="J556" i="87"/>
  <c r="I10" i="68" s="1"/>
  <c r="J82" i="87"/>
  <c r="I10" i="34" s="1" a="1"/>
  <c r="I10" i="34" s="1"/>
  <c r="J167" i="87"/>
  <c r="J80" i="87"/>
  <c r="H10" i="34" s="1"/>
  <c r="J336" i="87"/>
  <c r="J597" i="87"/>
  <c r="G10" i="70" s="1"/>
  <c r="J393" i="87"/>
  <c r="G10" i="56" s="1"/>
  <c r="J78" i="87"/>
  <c r="G10" i="34" s="1"/>
  <c r="J203" i="87"/>
  <c r="J529" i="87"/>
  <c r="F10" i="66" s="1"/>
  <c r="J296" i="87"/>
  <c r="F10" i="48" s="1"/>
  <c r="J129" i="87"/>
  <c r="J488" i="87"/>
  <c r="J295" i="87"/>
  <c r="J128" i="87"/>
  <c r="J496" i="87"/>
  <c r="E10" i="65" s="1"/>
  <c r="J293" i="87"/>
  <c r="J145" i="87"/>
  <c r="J577" i="87"/>
  <c r="J411" i="87"/>
  <c r="J215" i="87"/>
  <c r="J588" i="87"/>
  <c r="D10" i="70" s="1"/>
  <c r="J432" i="87"/>
  <c r="J239" i="87"/>
  <c r="J72" i="87"/>
  <c r="J481" i="87"/>
  <c r="J289" i="87"/>
  <c r="J156" i="87"/>
  <c r="J549" i="87"/>
  <c r="C10" i="68" s="1"/>
  <c r="J407" i="87"/>
  <c r="J236" i="87"/>
  <c r="J70" i="87"/>
  <c r="J428" i="87"/>
  <c r="J271" i="87"/>
  <c r="J152" i="87"/>
  <c r="J535" i="87"/>
  <c r="B10" i="67" s="1"/>
  <c r="J402" i="87"/>
  <c r="B10" i="57" s="1"/>
  <c r="J255" i="87"/>
  <c r="B10" i="46" s="1"/>
  <c r="J118" i="87"/>
  <c r="B10" i="37" s="1"/>
  <c r="J521" i="87"/>
  <c r="J401" i="87"/>
  <c r="J299" i="87"/>
  <c r="J248" i="87"/>
  <c r="J103" i="87"/>
  <c r="J298" i="87"/>
  <c r="J65" i="87"/>
  <c r="J323" i="87"/>
  <c r="D10" i="53" s="1"/>
  <c r="J566" i="87"/>
  <c r="J19" i="87"/>
  <c r="J424" i="87"/>
  <c r="F10" i="60" s="1"/>
  <c r="J199" i="87"/>
  <c r="E10" i="43" s="1"/>
  <c r="J143" i="87"/>
  <c r="D10" i="38" s="1"/>
  <c r="J369" i="87"/>
  <c r="P10" i="53" s="1"/>
  <c r="J355" i="87"/>
  <c r="J344" i="87"/>
  <c r="J333" i="87"/>
  <c r="J130" i="87"/>
  <c r="F10" i="37" s="1"/>
  <c r="J113" i="87"/>
  <c r="E10" i="35" s="1"/>
  <c r="J240" i="87"/>
  <c r="D10" i="42" s="1"/>
  <c r="J288" i="87"/>
  <c r="C10" i="48" s="1"/>
  <c r="J107" i="87"/>
  <c r="C10" i="35" s="1"/>
  <c r="J269" i="87"/>
  <c r="J55" i="87"/>
  <c r="J47" i="87"/>
  <c r="X10" i="50" s="1" a="1"/>
  <c r="X10" i="50" s="1"/>
  <c r="J39" i="87"/>
  <c r="J517" i="87"/>
  <c r="J464" i="87"/>
  <c r="J462" i="87"/>
  <c r="J568" i="87"/>
  <c r="J459" i="87"/>
  <c r="O10" i="62" s="1"/>
  <c r="J95" i="87"/>
  <c r="J26" i="87"/>
  <c r="J506" i="87"/>
  <c r="M10" i="65" s="1"/>
  <c r="J454" i="87"/>
  <c r="J354" i="87"/>
  <c r="J353" i="87"/>
  <c r="J350" i="87"/>
  <c r="J348" i="87"/>
  <c r="J399" i="87"/>
  <c r="J10" i="56" s="1"/>
  <c r="J398" i="87"/>
  <c r="J500" i="87"/>
  <c r="I10" i="65" s="1"/>
  <c r="J16" i="87"/>
  <c r="J81" i="87"/>
  <c r="J442" i="87"/>
  <c r="J14" i="87"/>
  <c r="J335" i="87"/>
  <c r="J554" i="87"/>
  <c r="G10" i="68" s="1"/>
  <c r="J332" i="87"/>
  <c r="J12" i="87"/>
  <c r="J438" i="87"/>
  <c r="J163" i="87"/>
  <c r="J497" i="87"/>
  <c r="F10" i="65" s="1"/>
  <c r="J281" i="87"/>
  <c r="J115" i="87"/>
  <c r="J487" i="87"/>
  <c r="J280" i="87"/>
  <c r="J114" i="87"/>
  <c r="J486" i="87"/>
  <c r="E10" i="64" s="1"/>
  <c r="J278" i="87"/>
  <c r="J126" i="87"/>
  <c r="J540" i="87"/>
  <c r="J387" i="87"/>
  <c r="J198" i="87"/>
  <c r="J575" i="87"/>
  <c r="J418" i="87"/>
  <c r="J214" i="87"/>
  <c r="D10" i="41" s="1"/>
  <c r="J587" i="87"/>
  <c r="J471" i="87"/>
  <c r="J274" i="87"/>
  <c r="J142" i="87"/>
  <c r="J537" i="87"/>
  <c r="C10" i="67" s="1"/>
  <c r="J383" i="87"/>
  <c r="C10" i="56" s="1"/>
  <c r="J212" i="87"/>
  <c r="C10" i="41" s="1"/>
  <c r="J5" i="87"/>
  <c r="J415" i="87"/>
  <c r="J256" i="87"/>
  <c r="J139" i="87"/>
  <c r="J522" i="87"/>
  <c r="B10" i="66" s="1"/>
  <c r="J380" i="87"/>
  <c r="B10" i="56" s="1"/>
  <c r="J250" i="87"/>
  <c r="B10" i="44" s="1"/>
  <c r="J104" i="87"/>
  <c r="B10" i="35" s="1"/>
  <c r="J477" i="87"/>
  <c r="J400" i="87"/>
  <c r="J232" i="87"/>
  <c r="J279" i="87"/>
  <c r="E10" i="47" s="1"/>
  <c r="J43" i="87"/>
  <c r="J179" i="87"/>
  <c r="J84" i="87"/>
  <c r="J10" i="34" s="1" a="1"/>
  <c r="J10" i="34" s="1"/>
  <c r="J133" i="87"/>
  <c r="J201" i="87"/>
  <c r="J473" i="87"/>
  <c r="J196" i="87"/>
  <c r="J368" i="87"/>
  <c r="J175" i="87"/>
  <c r="L10" i="39" s="1"/>
  <c r="J446" i="87"/>
  <c r="I10" i="62" s="1"/>
  <c r="J205" i="87"/>
  <c r="G10" i="43" s="1"/>
  <c r="J116" i="87"/>
  <c r="F10" i="35" s="1"/>
  <c r="J576" i="87"/>
  <c r="D10" i="69" s="1"/>
  <c r="J124" i="87"/>
  <c r="D10" i="37" s="1"/>
  <c r="J273" i="87"/>
  <c r="C10" i="47" s="1"/>
  <c r="J405" i="87"/>
  <c r="B10" i="59" s="1"/>
  <c r="J234" i="87"/>
  <c r="B10" i="42" s="1"/>
  <c r="J54" i="87"/>
  <c r="J46" i="87"/>
  <c r="J520" i="87"/>
  <c r="T10" i="65" s="1"/>
  <c r="J376" i="87"/>
  <c r="J374" i="87"/>
  <c r="J370" i="87"/>
  <c r="J511" i="87"/>
  <c r="J362" i="87"/>
  <c r="J27" i="87"/>
  <c r="J507" i="87"/>
  <c r="J455" i="87"/>
  <c r="M10" i="62" s="1"/>
  <c r="J357" i="87"/>
  <c r="J231" i="87"/>
  <c r="L10" i="41" s="1"/>
  <c r="J230" i="87"/>
  <c r="J229" i="87"/>
  <c r="K10" i="41" s="1"/>
  <c r="J228" i="87"/>
  <c r="J343" i="87"/>
  <c r="J342" i="87"/>
  <c r="J600" i="87"/>
  <c r="J15" i="87"/>
  <c r="J395" i="87"/>
  <c r="H10" i="56" s="1"/>
  <c r="J598" i="87"/>
  <c r="J222" i="87"/>
  <c r="J545" i="87"/>
  <c r="G10" i="67" s="1"/>
  <c r="J265" i="87"/>
  <c r="G10" i="46" s="1"/>
  <c r="J596" i="87"/>
  <c r="J392" i="87"/>
  <c r="J131" i="87"/>
  <c r="J489" i="87"/>
  <c r="F10" i="64" s="1"/>
  <c r="J263" i="87"/>
  <c r="F10" i="46" s="1"/>
  <c r="J76" i="87"/>
  <c r="F10" i="34" s="1"/>
  <c r="J475" i="87"/>
  <c r="J262" i="87"/>
  <c r="J75" i="87"/>
  <c r="J474" i="87"/>
  <c r="J261" i="87"/>
  <c r="E10" i="46" s="1"/>
  <c r="J112" i="87"/>
  <c r="J526" i="87"/>
  <c r="J386" i="87"/>
  <c r="J188" i="87"/>
  <c r="J551" i="87"/>
  <c r="D10" i="68" s="1"/>
  <c r="J410" i="87"/>
  <c r="D10" i="59" s="1"/>
  <c r="J197" i="87"/>
  <c r="D10" i="43" s="1"/>
  <c r="J586" i="87"/>
  <c r="J431" i="87"/>
  <c r="J258" i="87"/>
  <c r="J122" i="87"/>
  <c r="J523" i="87"/>
  <c r="C10" i="66" s="1"/>
  <c r="J316" i="87"/>
  <c r="J194" i="87"/>
  <c r="J584" i="87"/>
  <c r="J406" i="87"/>
  <c r="J252" i="87"/>
  <c r="J119" i="87"/>
  <c r="J493" i="87"/>
  <c r="B10" i="65" s="1"/>
  <c r="J311" i="87"/>
  <c r="J233" i="87"/>
  <c r="J66" i="87"/>
  <c r="J467" i="87"/>
  <c r="J379" i="87"/>
  <c r="J297" i="87"/>
  <c r="J209" i="87"/>
  <c r="J305" i="87"/>
  <c r="J60" i="87"/>
  <c r="B10" i="51" s="1"/>
  <c r="J378" i="87"/>
  <c r="J190" i="87"/>
  <c r="J328" i="87"/>
  <c r="J51" i="87"/>
  <c r="J463" i="87"/>
  <c r="Q10" i="62" s="1"/>
  <c r="J23" i="87"/>
  <c r="J341" i="87"/>
  <c r="I10" i="53" s="1"/>
  <c r="J204" i="87"/>
  <c r="J390" i="87"/>
  <c r="J277" i="87"/>
  <c r="J364" i="87"/>
  <c r="O10" i="53" s="1"/>
  <c r="J352" i="87"/>
  <c r="K10" i="53" s="1"/>
  <c r="J443" i="87"/>
  <c r="H10" i="62" s="1"/>
  <c r="J330" i="87"/>
  <c r="F10" i="53" s="1"/>
  <c r="J422" i="87"/>
  <c r="E10" i="60" s="1"/>
  <c r="J433" i="87"/>
  <c r="D10" i="62" s="1"/>
  <c r="J110" i="87"/>
  <c r="D10" i="35" s="1"/>
  <c r="J237" i="87"/>
  <c r="C10" i="42" s="1"/>
  <c r="J314" i="87"/>
  <c r="B10" i="53" s="1"/>
  <c r="J192" i="87"/>
  <c r="B10" i="43" s="1"/>
  <c r="J53" i="87"/>
  <c r="J45" i="87"/>
  <c r="J38" i="87"/>
  <c r="J35" i="87"/>
  <c r="J33" i="87"/>
  <c r="J31" i="87"/>
  <c r="J460" i="87"/>
  <c r="J96" i="87"/>
  <c r="R10" i="34" s="1"/>
  <c r="J565" i="87"/>
  <c r="N10" i="68" s="1"/>
  <c r="J456" i="87"/>
  <c r="J358" i="87"/>
  <c r="M10" i="53" s="1"/>
  <c r="J176" i="87"/>
  <c r="J174" i="87"/>
  <c r="J173" i="87"/>
  <c r="J172" i="87"/>
  <c r="K10" i="39" s="1"/>
  <c r="J171" i="87"/>
  <c r="J227" i="87"/>
  <c r="J10" i="41" s="1"/>
  <c r="J226" i="87"/>
  <c r="J445" i="87"/>
  <c r="J599" i="87"/>
  <c r="H10" i="70" s="1"/>
  <c r="J337" i="87"/>
  <c r="J546" i="87"/>
  <c r="J206" i="87"/>
  <c r="J531" i="87"/>
  <c r="G10" i="66" s="1"/>
  <c r="J247" i="87"/>
  <c r="G10" i="42" s="1"/>
  <c r="J595" i="87"/>
  <c r="J331" i="87"/>
  <c r="J77" i="87"/>
  <c r="J476" i="87"/>
  <c r="J245" i="87"/>
  <c r="F10" i="42" s="1"/>
  <c r="J436" i="87"/>
  <c r="J244" i="87"/>
  <c r="J591" i="87"/>
  <c r="E10" i="70" s="1"/>
  <c r="J435" i="87"/>
  <c r="E10" i="62" s="1"/>
  <c r="J242" i="87"/>
  <c r="J74" i="87"/>
  <c r="J485" i="87"/>
  <c r="J324" i="87"/>
  <c r="J158" i="87"/>
  <c r="J539" i="87"/>
  <c r="D10" i="67" s="1"/>
  <c r="J385" i="87"/>
  <c r="D10" i="56" s="1"/>
  <c r="J187" i="87"/>
  <c r="D10" i="40" s="1"/>
  <c r="J574" i="87"/>
  <c r="J417" i="87"/>
  <c r="J238" i="87"/>
  <c r="J108" i="87"/>
  <c r="J494" i="87"/>
  <c r="C10" i="65" s="1"/>
  <c r="J308" i="87"/>
  <c r="J184" i="87"/>
  <c r="C10" i="40" s="1"/>
  <c r="J583" i="87"/>
  <c r="J382" i="87"/>
  <c r="J251" i="87"/>
  <c r="J105" i="87"/>
  <c r="J478" i="87"/>
  <c r="B10" i="64" s="1"/>
  <c r="J210" i="87"/>
  <c r="B10" i="41" s="1"/>
  <c r="J466" i="87"/>
  <c r="J283" i="87"/>
  <c r="J449" i="87"/>
  <c r="J10" i="62" s="1"/>
  <c r="J465" i="87"/>
  <c r="R10" i="62" s="1"/>
  <c r="J90" i="87"/>
  <c r="J83" i="87"/>
  <c r="J492" i="87"/>
  <c r="G10" i="64" s="1"/>
  <c r="J592" i="87"/>
  <c r="J590" i="87"/>
  <c r="J384" i="87"/>
  <c r="J363" i="87"/>
  <c r="J351" i="87"/>
  <c r="J339" i="87"/>
  <c r="H10" i="53" s="1"/>
  <c r="J329" i="87"/>
  <c r="J294" i="87"/>
  <c r="E10" i="48" s="1"/>
  <c r="J419" i="87"/>
  <c r="D10" i="60" s="1"/>
  <c r="J430" i="87"/>
  <c r="C10" i="62" s="1"/>
  <c r="J195" i="87"/>
  <c r="C10" i="43" s="1"/>
  <c r="J313" i="87"/>
  <c r="J151" i="87"/>
  <c r="B10" i="39" s="1"/>
  <c r="J52" i="87"/>
  <c r="J44" i="87"/>
  <c r="J519" i="87"/>
  <c r="J516" i="87"/>
  <c r="R10" i="65" s="1"/>
  <c r="J514" i="87"/>
  <c r="Q10" i="65" s="1"/>
  <c r="J569" i="87"/>
  <c r="P10" i="68" s="1"/>
  <c r="J366" i="87"/>
  <c r="J28" i="87"/>
  <c r="J508" i="87"/>
  <c r="N10" i="65" s="1"/>
  <c r="J359" i="87"/>
  <c r="J177" i="87"/>
  <c r="J89" i="87"/>
  <c r="J88" i="87"/>
  <c r="J87" i="87"/>
  <c r="J86" i="87"/>
  <c r="K10" i="34" s="1" a="1"/>
  <c r="K10" i="34" s="1"/>
  <c r="J85" i="87"/>
  <c r="J170" i="87"/>
  <c r="J10" i="39" s="1"/>
  <c r="J169" i="87"/>
  <c r="J397" i="87"/>
  <c r="I10" i="56" s="1"/>
  <c r="J444" i="87"/>
  <c r="J555" i="87"/>
  <c r="H10" i="68" s="1"/>
  <c r="J223" i="87"/>
  <c r="H10" i="41" s="1"/>
  <c r="J532" i="87"/>
  <c r="J165" i="87"/>
  <c r="J498" i="87"/>
  <c r="G10" i="65" s="1"/>
  <c r="J544" i="87"/>
  <c r="J264" i="87"/>
  <c r="J437" i="87"/>
  <c r="F10" i="62" s="1"/>
  <c r="J218" i="87"/>
  <c r="F10" i="41" s="1"/>
  <c r="J593" i="87"/>
  <c r="J423" i="87"/>
  <c r="J217" i="87"/>
  <c r="J579" i="87"/>
  <c r="E10" i="69" s="1"/>
  <c r="J421" i="87"/>
  <c r="J216" i="87"/>
  <c r="E10" i="41" s="1"/>
  <c r="J9" i="87"/>
  <c r="E10" i="50" s="1"/>
  <c r="J484" i="87"/>
  <c r="J292" i="87"/>
  <c r="J144" i="87"/>
  <c r="J525" i="87"/>
  <c r="D10" i="66" s="1"/>
  <c r="J321" i="87"/>
  <c r="J157" i="87"/>
  <c r="D10" i="39" s="1"/>
  <c r="J550" i="87"/>
  <c r="J409" i="87"/>
  <c r="J213" i="87"/>
  <c r="J71" i="87"/>
  <c r="J480" i="87"/>
  <c r="C10" i="64" s="1"/>
  <c r="J287" i="87"/>
  <c r="J153" i="87"/>
  <c r="J572" i="87"/>
  <c r="J381" i="87"/>
  <c r="J235" i="87"/>
  <c r="J69" i="87"/>
  <c r="J468" i="87"/>
  <c r="B10" i="63" s="1"/>
  <c r="J302" i="87"/>
  <c r="B10" i="52" s="1"/>
  <c r="J191" i="87"/>
  <c r="J581" i="87"/>
  <c r="J426" i="87"/>
  <c r="J310" i="87"/>
  <c r="J267" i="87"/>
  <c r="J181" i="87"/>
  <c r="J94" i="87"/>
  <c r="Q10" i="34" s="1"/>
  <c r="J338" i="87"/>
  <c r="J312" i="87"/>
  <c r="J138" i="87"/>
  <c r="B10" i="38" s="1"/>
  <c r="J37" i="87"/>
  <c r="J457" i="87"/>
  <c r="N10" i="62" s="1"/>
  <c r="J22" i="87"/>
  <c r="J396" i="87"/>
  <c r="J530" i="87"/>
  <c r="J200" i="87"/>
  <c r="J125" i="87"/>
  <c r="J6" i="87"/>
  <c r="C10" i="50" s="1"/>
  <c r="J178" i="87"/>
  <c r="M10" i="39" s="1"/>
  <c r="J347" i="87"/>
  <c r="J10" i="53" s="1"/>
  <c r="J208" i="87"/>
  <c r="H10" i="43" s="1"/>
  <c r="J282" i="87"/>
  <c r="F10" i="47" s="1"/>
  <c r="J243" i="87"/>
  <c r="E10" i="42" s="1"/>
  <c r="J322" i="87"/>
  <c r="J318" i="87"/>
  <c r="C10" i="53" s="1"/>
  <c r="J154" i="87"/>
  <c r="J306" i="87"/>
  <c r="B10" i="55" s="1"/>
  <c r="J137" i="87"/>
  <c r="J50" i="87"/>
  <c r="J42" i="87"/>
  <c r="J518" i="87"/>
  <c r="S10" i="65" s="1"/>
  <c r="J375" i="87"/>
  <c r="R10" i="53" s="1"/>
  <c r="J371" i="87"/>
  <c r="J461" i="87"/>
  <c r="P10" i="62" s="1"/>
  <c r="J29" i="87"/>
  <c r="J509" i="87"/>
  <c r="J360" i="87"/>
  <c r="N10" i="53" s="1"/>
  <c r="J92" i="87"/>
  <c r="J24" i="87"/>
  <c r="J562" i="87"/>
  <c r="L10" i="68" s="1"/>
  <c r="J561" i="87"/>
  <c r="J560" i="87"/>
  <c r="K10" i="68" s="1"/>
  <c r="J559" i="87"/>
  <c r="J558" i="87"/>
  <c r="J10" i="68" s="1"/>
  <c r="J18" i="87"/>
  <c r="J17" i="87"/>
  <c r="J225" i="87"/>
  <c r="I10" i="41" s="1"/>
  <c r="J340" i="87"/>
  <c r="J533" i="87"/>
  <c r="H10" i="66" s="1"/>
  <c r="J166" i="87"/>
  <c r="H10" i="39" s="1"/>
  <c r="J441" i="87"/>
  <c r="J79" i="87"/>
  <c r="J164" i="87"/>
  <c r="G10" i="39" s="1"/>
  <c r="J491" i="87"/>
  <c r="J220" i="87"/>
  <c r="J553" i="87"/>
  <c r="F10" i="68" s="1"/>
  <c r="J391" i="87"/>
  <c r="F10" i="56" s="1"/>
  <c r="J161" i="87"/>
  <c r="J542" i="87"/>
  <c r="J389" i="87"/>
  <c r="J160" i="87"/>
  <c r="J541" i="87"/>
  <c r="E10" i="67" s="1"/>
  <c r="J388" i="87"/>
  <c r="E10" i="56" s="1"/>
  <c r="J189" i="87"/>
  <c r="E10" i="40" s="1"/>
  <c r="J589" i="87"/>
  <c r="J434" i="87"/>
  <c r="J260" i="87"/>
  <c r="J111" i="87"/>
  <c r="J483" i="87"/>
  <c r="D10" i="64" s="1"/>
  <c r="J275" i="87"/>
  <c r="J123" i="87"/>
  <c r="J524" i="87"/>
  <c r="J320" i="87"/>
  <c r="J186" i="87"/>
  <c r="J585" i="87"/>
  <c r="C10" i="70" s="1"/>
  <c r="J429" i="87"/>
  <c r="J257" i="87"/>
  <c r="C10" i="46" s="1"/>
  <c r="J120" i="87"/>
  <c r="J479" i="87"/>
  <c r="J307" i="87"/>
  <c r="J193" i="87"/>
  <c r="J571" i="87"/>
  <c r="B10" i="69" s="1"/>
  <c r="J414" i="87"/>
  <c r="B10" i="60" s="1"/>
  <c r="J284" i="87"/>
  <c r="J150" i="87"/>
  <c r="J570" i="87"/>
  <c r="J413" i="87"/>
  <c r="J303" i="87"/>
  <c r="J254" i="87"/>
  <c r="J135" i="87"/>
  <c r="J408" i="87"/>
  <c r="C10" i="59" s="1"/>
  <c r="J512" i="87"/>
  <c r="P10" i="65" s="1"/>
  <c r="J21" i="87"/>
  <c r="J547" i="87"/>
  <c r="H10" i="67" s="1"/>
  <c r="J594" i="87"/>
  <c r="F10" i="70" s="1"/>
  <c r="J552" i="87"/>
  <c r="E10" i="68" s="1"/>
  <c r="J290" i="87"/>
  <c r="J470" i="87"/>
  <c r="J300" i="87"/>
  <c r="B10" i="49" s="1"/>
  <c r="J272" i="87"/>
  <c r="J182" i="87"/>
  <c r="B10" i="40" s="1"/>
  <c r="J266" i="87"/>
  <c r="J538" i="87"/>
  <c r="J140" i="87"/>
  <c r="J580" i="87"/>
  <c r="J536" i="87"/>
  <c r="J425" i="87"/>
  <c r="J149" i="87"/>
  <c r="J315" i="87"/>
  <c r="J304" i="87"/>
  <c r="J582" i="87"/>
  <c r="B10" i="70" s="1"/>
  <c r="J427" i="87"/>
  <c r="B10" i="62" s="1"/>
  <c r="J211" i="87"/>
  <c r="J64" i="87"/>
  <c r="E10" i="51" s="1"/>
  <c r="J63" i="87"/>
  <c r="J8" i="87"/>
  <c r="D10" i="50" s="1"/>
  <c r="J7" i="87"/>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I11" i="78"/>
  <c r="D17" i="78"/>
  <c r="I10" i="78"/>
  <c r="D16" i="78"/>
  <c r="I9" i="78"/>
  <c r="D15" i="78"/>
  <c r="I8" i="78"/>
  <c r="D14" i="78"/>
  <c r="I7" i="78"/>
  <c r="D13" i="78"/>
  <c r="I6" i="78"/>
  <c r="D12" i="78"/>
  <c r="I5" i="78"/>
  <c r="D11" i="78"/>
  <c r="I4" i="78"/>
  <c r="D10" i="78"/>
  <c r="I3" i="78"/>
  <c r="D9" i="78"/>
  <c r="D8" i="78"/>
  <c r="D7" i="78"/>
  <c r="D6" i="78"/>
  <c r="D5" i="78"/>
  <c r="D4" i="78"/>
  <c r="D3" i="78"/>
  <c r="I2" i="78"/>
  <c r="D2" i="78"/>
  <c r="M10" i="50" l="1"/>
  <c r="AC10" i="50"/>
  <c r="P10" i="34"/>
  <c r="L10" i="50"/>
  <c r="P10" i="50"/>
  <c r="T10" i="50"/>
  <c r="J10" i="50"/>
  <c r="AD10" i="50"/>
  <c r="AB10" i="50"/>
  <c r="Y10" i="50"/>
  <c r="M10" i="34"/>
  <c r="N10" i="50"/>
  <c r="O10" i="34"/>
  <c r="V10" i="50"/>
  <c r="R10" i="50"/>
  <c r="K10" i="50"/>
  <c r="I10" i="50"/>
  <c r="H10" i="50"/>
  <c r="Q10" i="50"/>
  <c r="U10" i="50"/>
  <c r="S10" i="50"/>
  <c r="O10" i="50"/>
  <c r="W10" i="50"/>
  <c r="AA10" i="50"/>
  <c r="D10" i="63"/>
  <c r="Z10" i="50"/>
  <c r="C10" i="63"/>
  <c r="F10" i="63"/>
  <c r="E10" i="63"/>
  <c r="L10" i="34"/>
  <c r="N10" i="34"/>
  <c r="E10" i="34"/>
  <c r="D10" i="34"/>
  <c r="C10" i="34"/>
  <c r="J10" i="87" l="1"/>
  <c r="J11" i="87"/>
  <c r="F10" i="50" s="1"/>
  <c r="J2" i="87"/>
  <c r="J3" i="87" l="1"/>
  <c r="J4" i="87"/>
  <c r="B10" i="50" s="1"/>
  <c r="E273" i="87" a="1"/>
  <c r="E486" i="87" a="1"/>
  <c r="E122" i="87" a="1"/>
  <c r="E416" i="87" a="1"/>
  <c r="E107" i="87" a="1"/>
  <c r="E591" i="87" a="1"/>
  <c r="E144" i="87" a="1"/>
  <c r="E93" i="87" a="1"/>
  <c r="E433" i="87" a="1"/>
  <c r="E30" i="87" a="1"/>
  <c r="H260" i="73" a="1"/>
  <c r="E280" i="87" a="1"/>
  <c r="E408" i="87" a="1"/>
  <c r="E414" i="87" a="1"/>
  <c r="E153" i="87" a="1"/>
  <c r="E114" i="87" a="1"/>
  <c r="E24" i="87" a="1"/>
  <c r="E43" i="87" a="1"/>
  <c r="E454" i="87" a="1"/>
  <c r="E254" i="87" a="1"/>
  <c r="E7" i="87" a="1"/>
  <c r="E274" i="87" a="1"/>
  <c r="E263" i="87" a="1"/>
  <c r="E300" i="87" a="1"/>
  <c r="I13" i="73" a="1"/>
  <c r="E153" i="87" l="1"/>
  <c r="I13" i="73"/>
  <c r="E254" i="87"/>
  <c r="E414" i="87"/>
  <c r="E591" i="87"/>
  <c r="E122" i="87"/>
  <c r="E408" i="87"/>
  <c r="E300" i="87"/>
  <c r="E454" i="87"/>
  <c r="E280" i="87"/>
  <c r="E263" i="87"/>
  <c r="E43" i="87"/>
  <c r="H260" i="73"/>
  <c r="E107" i="87"/>
  <c r="E486" i="87"/>
  <c r="E30" i="87"/>
  <c r="E274" i="87"/>
  <c r="E24" i="87"/>
  <c r="E433" i="87"/>
  <c r="E416" i="87"/>
  <c r="E114" i="87"/>
  <c r="E93" i="87"/>
  <c r="E7" i="87"/>
  <c r="E273" i="87"/>
  <c r="E144" i="87"/>
  <c r="E77" i="87" a="1"/>
  <c r="I96" i="73" a="1"/>
  <c r="E19" i="87" a="1"/>
  <c r="E452" i="87" a="1"/>
  <c r="E292" i="87" a="1"/>
  <c r="E304" i="87" a="1"/>
  <c r="E157" i="87" a="1"/>
  <c r="E497" i="87" a="1"/>
  <c r="E164" i="87" a="1"/>
  <c r="E509" i="87" a="1"/>
  <c r="E558" i="87" a="1"/>
  <c r="E325" i="87" a="1"/>
  <c r="E415" i="87" a="1"/>
  <c r="E343" i="87" a="1"/>
  <c r="E593" i="87" a="1"/>
  <c r="E174" i="87" a="1"/>
  <c r="E333" i="87" a="1"/>
  <c r="E20" i="87" a="1"/>
  <c r="E352" i="87" a="1"/>
  <c r="E490" i="87" a="1"/>
  <c r="E348" i="87" a="1"/>
  <c r="E277" i="87" a="1"/>
  <c r="E125" i="87" a="1"/>
  <c r="E96" i="87" a="1"/>
  <c r="E576" i="87" a="1"/>
  <c r="E518" i="87" a="1"/>
  <c r="E42" i="87" a="1"/>
  <c r="E217" i="87" a="1"/>
  <c r="E478" i="87" a="1"/>
  <c r="E568" i="87" a="1"/>
  <c r="E201" i="87" a="1"/>
  <c r="E278" i="73" a="1"/>
  <c r="E387" i="87" a="1"/>
  <c r="E458" i="87" a="1"/>
  <c r="E224" i="73" a="1"/>
  <c r="E540" i="87" a="1"/>
  <c r="E579" i="87" a="1"/>
  <c r="E366" i="87" a="1"/>
  <c r="G196" i="73" a="1"/>
  <c r="E31" i="87" a="1"/>
  <c r="E167" i="87" a="1"/>
  <c r="E165" i="87" a="1"/>
  <c r="I153" i="73" a="1"/>
  <c r="E397" i="87" a="1"/>
  <c r="E9" i="87" a="1"/>
  <c r="E467" i="87" a="1"/>
  <c r="E180" i="87" a="1"/>
  <c r="E202" i="87" a="1"/>
  <c r="E93" i="73" a="1"/>
  <c r="E250" i="87" a="1"/>
  <c r="E332" i="87" a="1"/>
  <c r="E67" i="73" a="1"/>
  <c r="E571" i="87" a="1"/>
  <c r="E62" i="87" a="1"/>
  <c r="E33" i="87" a="1"/>
  <c r="E161" i="87" a="1"/>
  <c r="H76" i="73" a="1"/>
  <c r="E118" i="87" a="1"/>
  <c r="E474" i="87" a="1"/>
  <c r="E399" i="87" a="1"/>
  <c r="E264" i="87" a="1"/>
  <c r="G90" i="73" a="1"/>
  <c r="G98" i="73" a="1"/>
  <c r="E545" i="87" a="1"/>
  <c r="E247" i="87" a="1"/>
  <c r="E38" i="87" a="1"/>
  <c r="E136" i="87" a="1"/>
  <c r="E441" i="87" a="1"/>
  <c r="E269" i="87" a="1"/>
  <c r="E578" i="87" a="1"/>
  <c r="E508" i="87" a="1"/>
  <c r="E160" i="87" a="1"/>
  <c r="F195" i="73" a="1"/>
  <c r="E513" i="87" a="1"/>
  <c r="E599" i="87" a="1"/>
  <c r="E16" i="73" a="1"/>
  <c r="E461" i="87" a="1"/>
  <c r="E445" i="87" a="1"/>
  <c r="E140" i="87" a="1"/>
  <c r="E153" i="73" a="1"/>
  <c r="E16" i="87" a="1"/>
  <c r="E158" i="87" a="1"/>
  <c r="E261" i="87" a="1"/>
  <c r="E306" i="87" a="1"/>
  <c r="E53" i="87" a="1"/>
  <c r="E41" i="87" a="1"/>
  <c r="E203" i="87" a="1"/>
  <c r="E341" i="87" a="1"/>
  <c r="E390" i="87" a="1"/>
  <c r="E556" i="87" a="1"/>
  <c r="E6" i="87" a="1"/>
  <c r="E503" i="87" a="1"/>
  <c r="E553" i="87" a="1"/>
  <c r="F230" i="73" a="1"/>
  <c r="E4" i="87" a="1"/>
  <c r="E117" i="87" a="1"/>
  <c r="E230" i="87" a="1"/>
  <c r="E156" i="87" a="1"/>
  <c r="E258" i="87" a="1"/>
  <c r="E222" i="87" a="1"/>
  <c r="E574" i="87" a="1"/>
  <c r="E335" i="87" a="1"/>
  <c r="E121" i="87" a="1"/>
  <c r="E583" i="87" a="1"/>
  <c r="E316" i="87" a="1"/>
  <c r="E563" i="87" a="1"/>
  <c r="H245" i="73" a="1"/>
  <c r="E323" i="87" a="1"/>
  <c r="E141" i="87" a="1"/>
  <c r="E456" i="87" a="1"/>
  <c r="E584" i="87" a="1"/>
  <c r="E565" i="87" a="1"/>
  <c r="E510" i="87" a="1"/>
  <c r="E83" i="87" a="1"/>
  <c r="E236" i="87" a="1"/>
  <c r="E123" i="87" a="1"/>
  <c r="E73" i="87" a="1"/>
  <c r="E507" i="87" a="1"/>
  <c r="E232" i="87" a="1"/>
  <c r="E344" i="87" a="1"/>
  <c r="E127" i="87" a="1"/>
  <c r="E310" i="87" a="1"/>
  <c r="E564" i="87" a="1"/>
  <c r="E347" i="87" a="1"/>
  <c r="E253" i="87" a="1"/>
  <c r="E434" i="87" a="1"/>
  <c r="E166" i="87" a="1"/>
  <c r="E163" i="87" a="1"/>
  <c r="E136" i="73" a="1"/>
  <c r="E547" i="87" a="1"/>
  <c r="E342" i="87" a="1"/>
  <c r="E29" i="87" a="1"/>
  <c r="E71" i="87" a="1"/>
  <c r="E483" i="87" a="1"/>
  <c r="E590" i="87" a="1"/>
  <c r="E54" i="87" a="1"/>
  <c r="E172" i="87" a="1"/>
  <c r="E365" i="87" a="1"/>
  <c r="I111" i="73" a="1"/>
  <c r="E438" i="87" a="1"/>
  <c r="E204" i="87" a="1"/>
  <c r="E392" i="87" a="1"/>
  <c r="E542" i="87" a="1"/>
  <c r="E184" i="73" a="1"/>
  <c r="E256" i="87" a="1"/>
  <c r="E370" i="87" a="1"/>
  <c r="E68" i="87" a="1"/>
  <c r="E453" i="87" a="1"/>
  <c r="E520" i="87" a="1"/>
  <c r="H206" i="73" a="1"/>
  <c r="E37" i="87" a="1"/>
  <c r="F182" i="73" a="1"/>
  <c r="H72" i="73" a="1"/>
  <c r="E187" i="87" a="1"/>
  <c r="E111" i="87" a="1"/>
  <c r="E75" i="87" a="1"/>
  <c r="I108" i="73" a="1"/>
  <c r="G5" i="73" a="1"/>
  <c r="E448" i="87" a="1"/>
  <c r="E411" i="87" a="1"/>
  <c r="E495" i="87" a="1"/>
  <c r="E188" i="87" a="1"/>
  <c r="E582" i="87" a="1"/>
  <c r="E47" i="87" a="1"/>
  <c r="E282" i="87" a="1"/>
  <c r="E266" i="73" a="1"/>
  <c r="F72" i="73" a="1"/>
  <c r="E197" i="87" a="1"/>
  <c r="E521" i="87" a="1"/>
  <c r="E338" i="87" a="1"/>
  <c r="E307" i="87" a="1"/>
  <c r="E494" i="87" a="1"/>
  <c r="E468" i="87" a="1"/>
  <c r="E259" i="87" a="1"/>
  <c r="E207" i="87" a="1"/>
  <c r="E186" i="87" a="1"/>
  <c r="E63" i="87" a="1"/>
  <c r="E594" i="87" a="1"/>
  <c r="E388" i="87" a="1"/>
  <c r="H51" i="73" a="1"/>
  <c r="E221" i="87" a="1"/>
  <c r="E235" i="87" a="1"/>
  <c r="E531" i="87" a="1"/>
  <c r="E286" i="87" a="1"/>
  <c r="E171" i="87" a="1"/>
  <c r="E358" i="87" a="1"/>
  <c r="G165" i="73" a="1"/>
  <c r="E389" i="87" a="1"/>
  <c r="E151" i="87" a="1"/>
  <c r="E199" i="87" a="1"/>
  <c r="E537" i="87" a="1"/>
  <c r="E78" i="87" a="1"/>
  <c r="E216" i="87" a="1"/>
  <c r="I116" i="73" a="1"/>
  <c r="E319" i="87" a="1"/>
  <c r="E130" i="87" a="1"/>
  <c r="E193" i="87" a="1"/>
  <c r="E371" i="87" a="1"/>
  <c r="H112" i="73" a="1"/>
  <c r="F140" i="73" a="1"/>
  <c r="E181" i="87" a="1"/>
  <c r="E228" i="73" a="1"/>
  <c r="E112" i="87" a="1"/>
  <c r="E369" i="87" a="1"/>
  <c r="E313" i="87" a="1"/>
  <c r="E128" i="87" a="1"/>
  <c r="G183" i="73" a="1"/>
  <c r="H117" i="73" a="1"/>
  <c r="E492" i="87" a="1"/>
  <c r="E506" i="87" a="1"/>
  <c r="E48" i="87" a="1"/>
  <c r="E560" i="87" a="1"/>
  <c r="E137" i="87" a="1"/>
  <c r="E345" i="87" a="1"/>
  <c r="E329" i="87" a="1"/>
  <c r="E361" i="87" a="1"/>
  <c r="E589" i="87" a="1"/>
  <c r="E575" i="87" a="1"/>
  <c r="E8" i="73" a="1"/>
  <c r="E255" i="87" a="1"/>
  <c r="E472" i="87" a="1"/>
  <c r="G24" i="73" a="1"/>
  <c r="E528" i="87" a="1"/>
  <c r="E535" i="87" a="1"/>
  <c r="E169" i="87" a="1"/>
  <c r="E132" i="87" a="1"/>
  <c r="E379" i="87" a="1"/>
  <c r="E362" i="87" a="1"/>
  <c r="E173" i="87" a="1"/>
  <c r="E505" i="87" a="1"/>
  <c r="E570" i="87" a="1"/>
  <c r="E331" i="87" a="1"/>
  <c r="E287" i="87" a="1"/>
  <c r="E244" i="87" a="1"/>
  <c r="H42" i="73" a="1"/>
  <c r="E285" i="87" a="1"/>
  <c r="E210" i="87" a="1"/>
  <c r="E214" i="87" a="1"/>
  <c r="E466" i="87" a="1"/>
  <c r="E36" i="87" a="1"/>
  <c r="E215" i="87" a="1"/>
  <c r="E213" i="87" a="1"/>
  <c r="E279" i="87" a="1"/>
  <c r="E360" i="87" a="1"/>
  <c r="E384" i="87" a="1"/>
  <c r="E462" i="87" a="1"/>
  <c r="E600" i="87" a="1"/>
  <c r="E561" i="87" a="1"/>
  <c r="E455" i="87" a="1"/>
  <c r="E155" i="87" a="1"/>
  <c r="H93" i="73" a="1"/>
  <c r="E502" i="87" a="1"/>
  <c r="I207" i="73" a="1"/>
  <c r="E149" i="87" a="1"/>
  <c r="E51" i="87" a="1"/>
  <c r="E376" i="87" a="1"/>
  <c r="E190" i="87" a="1"/>
  <c r="E146" i="87" a="1"/>
  <c r="G14" i="73" a="1"/>
  <c r="E383" i="87" a="1"/>
  <c r="I71" i="73" a="1"/>
  <c r="H11" i="73" a="1"/>
  <c r="E464" i="87" a="1"/>
  <c r="G130" i="73" a="1"/>
  <c r="E26" i="73" a="1"/>
  <c r="E536" i="87" a="1"/>
  <c r="E34" i="87" a="1"/>
  <c r="E501" i="87" a="1"/>
  <c r="E460" i="87" a="1"/>
  <c r="F116" i="73" a="1"/>
  <c r="E266" i="87" a="1"/>
  <c r="E530" i="87" a="1"/>
  <c r="E208" i="87" a="1"/>
  <c r="E265" i="87" a="1"/>
  <c r="E321" i="87" a="1"/>
  <c r="H148" i="73" a="1"/>
  <c r="E290" i="87" a="1"/>
  <c r="E283" i="87" a="1"/>
  <c r="E262" i="87" a="1"/>
  <c r="E314" i="87" a="1"/>
  <c r="F13" i="73" a="1"/>
  <c r="E566" i="87" a="1"/>
  <c r="E209" i="87" a="1"/>
  <c r="E407" i="87" a="1"/>
  <c r="E426" i="87" a="1"/>
  <c r="E504" i="87" a="1"/>
  <c r="E291" i="87" a="1"/>
  <c r="E451" i="87" a="1"/>
  <c r="E357" i="87" a="1"/>
  <c r="I142" i="73" a="1"/>
  <c r="E105" i="87" a="1"/>
  <c r="E595" i="87" a="1"/>
  <c r="E473" i="87" a="1"/>
  <c r="H201" i="73" a="1"/>
  <c r="E391" i="87" a="1"/>
  <c r="E281" i="73" a="1"/>
  <c r="E226" i="87" a="1"/>
  <c r="E517" i="87" a="1"/>
  <c r="E330" i="87" a="1"/>
  <c r="E162" i="87" a="1"/>
  <c r="E278" i="87" a="1"/>
  <c r="E544" i="87" a="1"/>
  <c r="G194" i="73" a="1"/>
  <c r="F120" i="73" a="1"/>
  <c r="E125" i="73" a="1"/>
  <c r="F222" i="73" a="1"/>
  <c r="E301" i="87" a="1"/>
  <c r="E84" i="87" a="1"/>
  <c r="E377" i="87" a="1"/>
  <c r="E353" i="87" a="1"/>
  <c r="E159" i="87" a="1"/>
  <c r="E44" i="87" a="1"/>
  <c r="E94" i="87" a="1"/>
  <c r="E532" i="87" a="1"/>
  <c r="E469" i="87" a="1"/>
  <c r="E237" i="87" a="1"/>
  <c r="E385" i="87" a="1"/>
  <c r="E86" i="87" a="1"/>
  <c r="E572" i="87" a="1"/>
  <c r="H154" i="73" a="1"/>
  <c r="E375" i="87" a="1"/>
  <c r="E420" i="87" a="1"/>
  <c r="E586" i="87" a="1"/>
  <c r="E308" i="87" a="1"/>
  <c r="E404" i="87" a="1"/>
  <c r="E439" i="87" a="1"/>
  <c r="E487" i="87" a="1"/>
  <c r="E40" i="87" a="1"/>
  <c r="I8" i="73" a="1"/>
  <c r="E176" i="87" a="1"/>
  <c r="E154" i="87" a="1"/>
  <c r="E350" i="87" a="1"/>
  <c r="E400" i="87" a="1"/>
  <c r="I155" i="73" a="1"/>
  <c r="E423" i="87" a="1"/>
  <c r="E233" i="87" a="1"/>
  <c r="E559" i="87" a="1"/>
  <c r="E363" i="87" a="1"/>
  <c r="E239" i="87" a="1"/>
  <c r="E527" i="87" a="1"/>
  <c r="E289" i="87" a="1"/>
  <c r="E288" i="87" a="1"/>
  <c r="E526" i="87" a="1"/>
  <c r="E500" i="87" a="1"/>
  <c r="E430" i="87" a="1"/>
  <c r="F253" i="73" a="1"/>
  <c r="E135" i="87" a="1"/>
  <c r="E90" i="87" a="1"/>
  <c r="E322" i="87" a="1"/>
  <c r="E129" i="87" a="1"/>
  <c r="E74" i="87" a="1"/>
  <c r="E88" i="87" a="1"/>
  <c r="E200" i="87" a="1"/>
  <c r="E76" i="87" a="1"/>
  <c r="E139" i="87" a="1"/>
  <c r="E275" i="87" a="1"/>
  <c r="E516" i="87" a="1"/>
  <c r="E539" i="87" a="1"/>
  <c r="E539" i="87" l="1"/>
  <c r="E516" i="87"/>
  <c r="E275" i="87"/>
  <c r="E139" i="87"/>
  <c r="E76" i="87"/>
  <c r="E200" i="87"/>
  <c r="E88" i="87"/>
  <c r="E74" i="87"/>
  <c r="E129" i="87"/>
  <c r="E322" i="87"/>
  <c r="E90" i="87"/>
  <c r="E135" i="87"/>
  <c r="F253" i="73"/>
  <c r="E430" i="87"/>
  <c r="E500" i="87"/>
  <c r="E526" i="87"/>
  <c r="E288" i="87"/>
  <c r="E289" i="87"/>
  <c r="E527" i="87"/>
  <c r="E239" i="87"/>
  <c r="E363" i="87"/>
  <c r="E559" i="87"/>
  <c r="E233" i="87"/>
  <c r="E423" i="87"/>
  <c r="I155" i="73"/>
  <c r="E400" i="87"/>
  <c r="E350" i="87"/>
  <c r="E154" i="87"/>
  <c r="E176" i="87"/>
  <c r="I8" i="73"/>
  <c r="E40" i="87"/>
  <c r="E487" i="87"/>
  <c r="E439" i="87"/>
  <c r="E404" i="87"/>
  <c r="E308" i="87"/>
  <c r="E586" i="87"/>
  <c r="E420" i="87"/>
  <c r="E375" i="87"/>
  <c r="H154" i="73"/>
  <c r="E572" i="87"/>
  <c r="E86" i="87"/>
  <c r="E385" i="87"/>
  <c r="E237" i="87"/>
  <c r="E469" i="87"/>
  <c r="E532" i="87"/>
  <c r="E94" i="87"/>
  <c r="E44" i="87"/>
  <c r="E159" i="87"/>
  <c r="E353" i="87"/>
  <c r="E377" i="87"/>
  <c r="E84" i="87"/>
  <c r="E301" i="87"/>
  <c r="F222" i="73"/>
  <c r="E125" i="73"/>
  <c r="F120" i="73"/>
  <c r="G194" i="73"/>
  <c r="E544" i="87"/>
  <c r="E278" i="87"/>
  <c r="E162" i="87"/>
  <c r="E330" i="87"/>
  <c r="E517" i="87"/>
  <c r="E226" i="87"/>
  <c r="E281" i="73"/>
  <c r="E391" i="87"/>
  <c r="H201" i="73"/>
  <c r="E473" i="87"/>
  <c r="E595" i="87"/>
  <c r="E105" i="87"/>
  <c r="I142" i="73"/>
  <c r="E357" i="87"/>
  <c r="E451" i="87"/>
  <c r="E291" i="87"/>
  <c r="E504" i="87"/>
  <c r="E426" i="87"/>
  <c r="E407" i="87"/>
  <c r="E209" i="87"/>
  <c r="E566" i="87"/>
  <c r="F13" i="73"/>
  <c r="E314" i="87"/>
  <c r="E262" i="87"/>
  <c r="E283" i="87"/>
  <c r="E290" i="87"/>
  <c r="H148" i="73"/>
  <c r="E321" i="87"/>
  <c r="E265" i="87"/>
  <c r="E208" i="87"/>
  <c r="E530" i="87"/>
  <c r="E266" i="87"/>
  <c r="F116" i="73"/>
  <c r="E460" i="87"/>
  <c r="E501" i="87"/>
  <c r="E34" i="87"/>
  <c r="E536" i="87"/>
  <c r="E26" i="73"/>
  <c r="G130" i="73"/>
  <c r="E464" i="87"/>
  <c r="H11" i="73"/>
  <c r="I71" i="73"/>
  <c r="E383" i="87"/>
  <c r="G14" i="73"/>
  <c r="E146" i="87"/>
  <c r="E190" i="87"/>
  <c r="E376" i="87"/>
  <c r="E51" i="87"/>
  <c r="E149" i="87"/>
  <c r="I207" i="73"/>
  <c r="E502" i="87"/>
  <c r="H93" i="73"/>
  <c r="E155" i="87"/>
  <c r="E455" i="87"/>
  <c r="E561" i="87"/>
  <c r="E600" i="87"/>
  <c r="E462" i="87"/>
  <c r="E384" i="87"/>
  <c r="E360" i="87"/>
  <c r="E279" i="87"/>
  <c r="E213" i="87"/>
  <c r="E215" i="87"/>
  <c r="E36" i="87"/>
  <c r="E466" i="87"/>
  <c r="E214" i="87"/>
  <c r="E210" i="87"/>
  <c r="E285" i="87"/>
  <c r="H42" i="73"/>
  <c r="E244" i="87"/>
  <c r="E287" i="87"/>
  <c r="E331" i="87"/>
  <c r="E570" i="87"/>
  <c r="E505" i="87"/>
  <c r="E173" i="87"/>
  <c r="E362" i="87"/>
  <c r="E379" i="87"/>
  <c r="E132" i="87"/>
  <c r="E169" i="87"/>
  <c r="E535" i="87"/>
  <c r="E528" i="87"/>
  <c r="G24" i="73"/>
  <c r="E472" i="87"/>
  <c r="E255" i="87"/>
  <c r="E8" i="73"/>
  <c r="E575" i="87"/>
  <c r="E589" i="87"/>
  <c r="E361" i="87"/>
  <c r="E329" i="87"/>
  <c r="E345" i="87"/>
  <c r="E137" i="87"/>
  <c r="E560" i="87"/>
  <c r="E48" i="87"/>
  <c r="E506" i="87"/>
  <c r="E492" i="87"/>
  <c r="H117" i="73"/>
  <c r="G183" i="73"/>
  <c r="E128" i="87"/>
  <c r="E313" i="87"/>
  <c r="E369" i="87"/>
  <c r="E112" i="87"/>
  <c r="E228" i="73"/>
  <c r="E181" i="87"/>
  <c r="F140" i="73"/>
  <c r="H112" i="73"/>
  <c r="E371" i="87"/>
  <c r="E193" i="87"/>
  <c r="E130" i="87"/>
  <c r="E319" i="87"/>
  <c r="I116" i="73"/>
  <c r="E216" i="87"/>
  <c r="E78" i="87"/>
  <c r="E537" i="87"/>
  <c r="E199" i="87"/>
  <c r="E151" i="87"/>
  <c r="E389" i="87"/>
  <c r="G165" i="73"/>
  <c r="E358" i="87"/>
  <c r="E171" i="87"/>
  <c r="E286" i="87"/>
  <c r="E531" i="87"/>
  <c r="E235" i="87"/>
  <c r="E221" i="87"/>
  <c r="H51" i="73"/>
  <c r="E388" i="87"/>
  <c r="E594" i="87"/>
  <c r="E63" i="87"/>
  <c r="E186" i="87"/>
  <c r="E207" i="87"/>
  <c r="E259" i="87"/>
  <c r="E468" i="87"/>
  <c r="E494" i="87"/>
  <c r="E307" i="87"/>
  <c r="E338" i="87"/>
  <c r="E521" i="87"/>
  <c r="E197" i="87"/>
  <c r="F72" i="73"/>
  <c r="E266" i="73"/>
  <c r="E282" i="87"/>
  <c r="E47" i="87"/>
  <c r="E582" i="87"/>
  <c r="E188" i="87"/>
  <c r="E495" i="87"/>
  <c r="E411" i="87"/>
  <c r="E448" i="87"/>
  <c r="G5" i="73"/>
  <c r="I108" i="73"/>
  <c r="E75" i="87"/>
  <c r="E111" i="87"/>
  <c r="E187" i="87"/>
  <c r="H72" i="73"/>
  <c r="F182" i="73"/>
  <c r="E37" i="87"/>
  <c r="H206" i="73"/>
  <c r="E520" i="87"/>
  <c r="E453" i="87"/>
  <c r="E68" i="87"/>
  <c r="E370" i="87"/>
  <c r="E256" i="87"/>
  <c r="E184" i="73"/>
  <c r="E542" i="87"/>
  <c r="E392" i="87"/>
  <c r="E204" i="87"/>
  <c r="E438" i="87"/>
  <c r="I111" i="73"/>
  <c r="E365" i="87"/>
  <c r="E172" i="87"/>
  <c r="E54" i="87"/>
  <c r="E590" i="87"/>
  <c r="E483" i="87"/>
  <c r="E71" i="87"/>
  <c r="E29" i="87"/>
  <c r="E342" i="87"/>
  <c r="E547" i="87"/>
  <c r="E136" i="73"/>
  <c r="E163" i="87"/>
  <c r="E166" i="87"/>
  <c r="E434" i="87"/>
  <c r="E253" i="87"/>
  <c r="E347" i="87"/>
  <c r="E564" i="87"/>
  <c r="E310" i="87"/>
  <c r="E127" i="87"/>
  <c r="E344" i="87"/>
  <c r="E232" i="87"/>
  <c r="E507" i="87"/>
  <c r="E73" i="87"/>
  <c r="E123" i="87"/>
  <c r="E236" i="87"/>
  <c r="E83" i="87"/>
  <c r="E510" i="87"/>
  <c r="E565" i="87"/>
  <c r="E584" i="87"/>
  <c r="E456" i="87"/>
  <c r="E141" i="87"/>
  <c r="E323" i="87"/>
  <c r="H245" i="73"/>
  <c r="E563" i="87"/>
  <c r="E316" i="87"/>
  <c r="E583" i="87"/>
  <c r="E121" i="87"/>
  <c r="E335" i="87"/>
  <c r="E574" i="87"/>
  <c r="E222" i="87"/>
  <c r="E258" i="87"/>
  <c r="E156" i="87"/>
  <c r="E230" i="87"/>
  <c r="E117" i="87"/>
  <c r="E4" i="87"/>
  <c r="F230" i="73"/>
  <c r="E553" i="87"/>
  <c r="E503" i="87"/>
  <c r="E6" i="87"/>
  <c r="E556" i="87"/>
  <c r="E390" i="87"/>
  <c r="E341" i="87"/>
  <c r="E203" i="87"/>
  <c r="E41" i="87"/>
  <c r="E53" i="87"/>
  <c r="E306" i="87"/>
  <c r="E261" i="87"/>
  <c r="E158" i="87"/>
  <c r="E16" i="87"/>
  <c r="E153" i="73"/>
  <c r="E140" i="87"/>
  <c r="E445" i="87"/>
  <c r="E461" i="87"/>
  <c r="E16" i="73"/>
  <c r="E599" i="87"/>
  <c r="E513" i="87"/>
  <c r="F195" i="73"/>
  <c r="E160" i="87"/>
  <c r="E508" i="87"/>
  <c r="E578" i="87"/>
  <c r="E269" i="87"/>
  <c r="E441" i="87"/>
  <c r="E136" i="87"/>
  <c r="E38" i="87"/>
  <c r="E247" i="87"/>
  <c r="E545" i="87"/>
  <c r="G98" i="73"/>
  <c r="G90" i="73"/>
  <c r="E264" i="87"/>
  <c r="E399" i="87"/>
  <c r="E474" i="87"/>
  <c r="E118" i="87"/>
  <c r="H76" i="73"/>
  <c r="E161" i="87"/>
  <c r="E33" i="87"/>
  <c r="E62" i="87"/>
  <c r="E571" i="87"/>
  <c r="E67" i="73"/>
  <c r="E332" i="87"/>
  <c r="E250" i="87"/>
  <c r="E93" i="73"/>
  <c r="E202" i="87"/>
  <c r="E180" i="87"/>
  <c r="E467" i="87"/>
  <c r="E9" i="87"/>
  <c r="E397" i="87"/>
  <c r="I153" i="73"/>
  <c r="E165" i="87"/>
  <c r="E167" i="87"/>
  <c r="E31" i="87"/>
  <c r="G196" i="73"/>
  <c r="E366" i="87"/>
  <c r="E579" i="87"/>
  <c r="E540" i="87"/>
  <c r="E224" i="73"/>
  <c r="E458" i="87"/>
  <c r="E387" i="87"/>
  <c r="E278" i="73"/>
  <c r="E201" i="87"/>
  <c r="E568" i="87"/>
  <c r="E478" i="87"/>
  <c r="E217" i="87"/>
  <c r="E42" i="87"/>
  <c r="E518" i="87"/>
  <c r="E576" i="87"/>
  <c r="E96" i="87"/>
  <c r="E125" i="87"/>
  <c r="E277" i="87"/>
  <c r="E348" i="87"/>
  <c r="E490" i="87"/>
  <c r="E352" i="87"/>
  <c r="E20" i="87"/>
  <c r="E333" i="87"/>
  <c r="E174" i="87"/>
  <c r="E593" i="87"/>
  <c r="E343" i="87"/>
  <c r="E415" i="87"/>
  <c r="E325" i="87"/>
  <c r="E558" i="87"/>
  <c r="E509" i="87"/>
  <c r="E164" i="87"/>
  <c r="E497" i="87"/>
  <c r="E157" i="87"/>
  <c r="E304" i="87"/>
  <c r="E292" i="87"/>
  <c r="E452" i="87"/>
  <c r="E19" i="87"/>
  <c r="I96" i="73"/>
  <c r="E77" i="87"/>
  <c r="E597" i="87" a="1"/>
  <c r="H12" i="73" a="1"/>
  <c r="I156" i="73" a="1"/>
  <c r="H125" i="73" a="1"/>
  <c r="E182" i="87" a="1"/>
  <c r="F175" i="73" a="1"/>
  <c r="I10" i="73" a="1"/>
  <c r="E171" i="73" a="1"/>
  <c r="H119" i="73" a="1"/>
  <c r="E551" i="87" a="1"/>
  <c r="I95" i="73" a="1"/>
  <c r="E382" i="87" a="1"/>
  <c r="E533" i="87" a="1"/>
  <c r="E294" i="87" a="1"/>
  <c r="E133" i="87" a="1"/>
  <c r="E356" i="87" a="1"/>
  <c r="E484" i="87" a="1"/>
  <c r="F158" i="73" a="1"/>
  <c r="G173" i="73" a="1"/>
  <c r="F178" i="73" a="1"/>
  <c r="E238" i="73" a="1"/>
  <c r="I285" i="73" a="1"/>
  <c r="E147" i="87" a="1"/>
  <c r="E372" i="87" a="1"/>
  <c r="H236" i="73" a="1"/>
  <c r="E512" i="87" a="1"/>
  <c r="E355" i="87" a="1"/>
  <c r="E555" i="87" a="1"/>
  <c r="E567" i="87" a="1"/>
  <c r="E192" i="87" a="1"/>
  <c r="H248" i="73" a="1"/>
  <c r="G220" i="73" a="1"/>
  <c r="G134" i="73" a="1"/>
  <c r="F250" i="73" a="1"/>
  <c r="F176" i="73" a="1"/>
  <c r="G256" i="73" a="1"/>
  <c r="E169" i="73" a="1"/>
  <c r="F149" i="73" a="1"/>
  <c r="I58" i="73" a="1"/>
  <c r="E334" i="87" a="1"/>
  <c r="G188" i="73" a="1"/>
  <c r="G43" i="73" a="1"/>
  <c r="E588" i="87" a="1"/>
  <c r="E108" i="73" a="1"/>
  <c r="E538" i="87" a="1"/>
  <c r="G276" i="73" a="1"/>
  <c r="F200" i="73" a="1"/>
  <c r="H162" i="73" a="1"/>
  <c r="E446" i="87" a="1"/>
  <c r="E378" i="87" a="1"/>
  <c r="F283" i="73" a="1"/>
  <c r="E5" i="73" a="1"/>
  <c r="F148" i="73" a="1"/>
  <c r="E98" i="73" a="1"/>
  <c r="F28" i="73" a="1"/>
  <c r="G190" i="73" a="1"/>
  <c r="H197" i="73" a="1"/>
  <c r="E49" i="87" a="1"/>
  <c r="E573" i="87" a="1"/>
  <c r="E178" i="87" a="1"/>
  <c r="E419" i="87" a="1"/>
  <c r="E525" i="87" a="1"/>
  <c r="E437" i="87" a="1"/>
  <c r="I240" i="73" a="1"/>
  <c r="H83" i="73" a="1"/>
  <c r="E121" i="73" a="1"/>
  <c r="F202" i="73" a="1"/>
  <c r="I144" i="73" a="1"/>
  <c r="E489" i="87" a="1"/>
  <c r="E373" i="87" a="1"/>
  <c r="E198" i="87" a="1"/>
  <c r="E296" i="87" a="1"/>
  <c r="E548" i="87" a="1"/>
  <c r="E168" i="87" a="1"/>
  <c r="E435" i="87" a="1"/>
  <c r="G71" i="73" a="1"/>
  <c r="E49" i="73" a="1"/>
  <c r="E124" i="87" a="1"/>
  <c r="E228" i="87" a="1"/>
  <c r="E431" i="87" a="1"/>
  <c r="E70" i="87" a="1"/>
  <c r="E417" i="87" a="1"/>
  <c r="E562" i="87" a="1"/>
  <c r="F278" i="73" a="1"/>
  <c r="F287" i="73" a="1"/>
  <c r="G156" i="73" a="1"/>
  <c r="E18" i="87" a="1"/>
  <c r="G146" i="73" a="1"/>
  <c r="E339" i="87" a="1"/>
  <c r="E476" i="87" a="1"/>
  <c r="F173" i="73" a="1"/>
  <c r="E85" i="87" a="1"/>
  <c r="E5" i="87" a="1"/>
  <c r="E324" i="87" a="1"/>
  <c r="E402" i="87" a="1"/>
  <c r="E69" i="73" a="1"/>
  <c r="E327" i="87" a="1"/>
  <c r="F151" i="73" a="1"/>
  <c r="H286" i="73" a="1"/>
  <c r="H191" i="73" a="1"/>
  <c r="G38" i="73" a="1"/>
  <c r="F199" i="73" a="1"/>
  <c r="H74" i="73" a="1"/>
  <c r="I174" i="73" a="1"/>
  <c r="E524" i="87" a="1"/>
  <c r="E17" i="87" a="1"/>
  <c r="E393" i="87" a="1"/>
  <c r="G198" i="73" a="1"/>
  <c r="F184" i="73" a="1"/>
  <c r="E72" i="87" a="1"/>
  <c r="E485" i="87" a="1"/>
  <c r="G229" i="73" a="1"/>
  <c r="E429" i="87" a="1"/>
  <c r="E34" i="73" a="1"/>
  <c r="I254" i="73" a="1"/>
  <c r="G249" i="73" a="1"/>
  <c r="G80" i="73" a="1"/>
  <c r="G152" i="73" a="1"/>
  <c r="H180" i="73" a="1"/>
  <c r="H274" i="73" a="1"/>
  <c r="I159" i="73" a="1"/>
  <c r="I249" i="73" a="1"/>
  <c r="E217" i="73" a="1"/>
  <c r="E35" i="87" a="1"/>
  <c r="E189" i="87" a="1"/>
  <c r="E64" i="87" a="1"/>
  <c r="E596" i="87" a="1"/>
  <c r="E546" i="87" a="1"/>
  <c r="E409" i="87" a="1"/>
  <c r="G93" i="73" a="1"/>
  <c r="E298" i="87" a="1"/>
  <c r="E26" i="87" a="1"/>
  <c r="E403" i="87" a="1"/>
  <c r="I274" i="73" a="1"/>
  <c r="E253" i="73" a="1"/>
  <c r="I33" i="73" a="1"/>
  <c r="F12" i="73" a="1"/>
  <c r="E188" i="73" a="1"/>
  <c r="E225" i="87" a="1"/>
  <c r="E398" i="87" a="1"/>
  <c r="E424" i="87" a="1"/>
  <c r="E299" i="87" a="1"/>
  <c r="E479" i="87" a="1"/>
  <c r="E183" i="87" a="1"/>
  <c r="G111" i="73" a="1"/>
  <c r="E70" i="73" a="1"/>
  <c r="E185" i="87" a="1"/>
  <c r="G11" i="73" a="1"/>
  <c r="E234" i="87" a="1"/>
  <c r="E248" i="87" a="1"/>
  <c r="E28" i="87" a="1"/>
  <c r="E103" i="87" a="1"/>
  <c r="E2" i="87" a="1"/>
  <c r="E245" i="87" a="1"/>
  <c r="I287" i="73" a="1"/>
  <c r="F63" i="73" a="1"/>
  <c r="G233" i="73" a="1"/>
  <c r="F163" i="73" a="1"/>
  <c r="I6" i="73" a="1"/>
  <c r="G10" i="73" a="1"/>
  <c r="G189" i="73" a="1"/>
  <c r="E92" i="87" a="1"/>
  <c r="E447" i="87" a="1"/>
  <c r="H4" i="73" a="1"/>
  <c r="I63" i="73" a="1"/>
  <c r="F85" i="73" a="1"/>
  <c r="E272" i="73" a="1"/>
  <c r="F236" i="73" a="1"/>
  <c r="E224" i="87" a="1"/>
  <c r="E116" i="87" a="1"/>
  <c r="E131" i="87" a="1"/>
  <c r="E252" i="87" a="1"/>
  <c r="E270" i="87" a="1"/>
  <c r="E284" i="87" a="1"/>
  <c r="E543" i="87" a="1"/>
  <c r="E195" i="87" a="1"/>
  <c r="I262" i="73" a="1"/>
  <c r="H219" i="73" a="1"/>
  <c r="H202" i="73" a="1"/>
  <c r="I154" i="73" a="1"/>
  <c r="G166" i="73" a="1"/>
  <c r="E428" i="87" a="1"/>
  <c r="E281" i="87" a="1"/>
  <c r="E142" i="87" a="1"/>
  <c r="E175" i="87" a="1"/>
  <c r="I187" i="73" a="1"/>
  <c r="F7" i="73" a="1"/>
  <c r="E120" i="87" a="1"/>
  <c r="E364" i="87" a="1"/>
  <c r="E134" i="87" a="1"/>
  <c r="G204" i="73" a="1"/>
  <c r="E293" i="87" a="1"/>
  <c r="H92" i="73" a="1"/>
  <c r="I228" i="73" a="1"/>
  <c r="I29" i="73" a="1"/>
  <c r="E104" i="87" a="1"/>
  <c r="H229" i="73" a="1"/>
  <c r="E126" i="87" a="1"/>
  <c r="E87" i="87" a="1"/>
  <c r="E311" i="87" a="1"/>
  <c r="E346" i="87" a="1"/>
  <c r="F255" i="73" a="1"/>
  <c r="E167" i="73" a="1"/>
  <c r="F203" i="73" a="1"/>
  <c r="E405" i="87" a="1"/>
  <c r="E52" i="87" a="1"/>
  <c r="E585" i="87" a="1"/>
  <c r="E45" i="87" a="1"/>
  <c r="E238" i="87" a="1"/>
  <c r="E91" i="87" a="1"/>
  <c r="E496" i="87" a="1"/>
  <c r="E205" i="87" a="1"/>
  <c r="F80" i="73" a="1"/>
  <c r="I138" i="73" a="1"/>
  <c r="F33" i="73" a="1"/>
  <c r="E257" i="87" a="1"/>
  <c r="G207" i="73" a="1"/>
  <c r="G252" i="73" a="1"/>
  <c r="E14" i="87" a="1"/>
  <c r="E541" i="87" a="1"/>
  <c r="E23" i="87" a="1"/>
  <c r="E115" i="87" a="1"/>
  <c r="E577" i="87" a="1"/>
  <c r="E10" i="87" a="1"/>
  <c r="E61" i="87" a="1"/>
  <c r="E514" i="87" a="1"/>
  <c r="E395" i="87" a="1"/>
  <c r="F118" i="73" a="1"/>
  <c r="E554" i="87" a="1"/>
  <c r="E198" i="73" a="1"/>
  <c r="F260" i="73" a="1"/>
  <c r="E276" i="87" a="1"/>
  <c r="E550" i="87" a="1"/>
  <c r="E519" i="87" a="1"/>
  <c r="E470" i="87" a="1"/>
  <c r="E529" i="87" a="1"/>
  <c r="E179" i="87" a="1"/>
  <c r="E249" i="87" a="1"/>
  <c r="E3" i="73" a="1"/>
  <c r="F133" i="73" a="1"/>
  <c r="H228" i="73" a="1"/>
  <c r="I115" i="73" a="1"/>
  <c r="H18" i="73" a="1"/>
  <c r="E154" i="73" a="1"/>
  <c r="H217" i="73" a="1"/>
  <c r="E50" i="87" a="1"/>
  <c r="G46" i="73" a="1"/>
  <c r="G26" i="73" a="1"/>
  <c r="F269" i="73" a="1"/>
  <c r="F249" i="73" a="1"/>
  <c r="E103" i="73" a="1"/>
  <c r="I123" i="73" a="1"/>
  <c r="G176" i="73" a="1"/>
  <c r="H67" i="73" a="1"/>
  <c r="E349" i="87" a="1"/>
  <c r="E106" i="87" a="1"/>
  <c r="E206" i="87" a="1"/>
  <c r="E191" i="87" a="1"/>
  <c r="F254" i="73" a="1"/>
  <c r="H40" i="73" a="1"/>
  <c r="H39" i="73" a="1"/>
  <c r="E202" i="73" a="1"/>
  <c r="E549" i="87" a="1"/>
  <c r="H25" i="73" a="1"/>
  <c r="E315" i="87" a="1"/>
  <c r="E220" i="87" a="1"/>
  <c r="E326" i="87" a="1"/>
  <c r="E320" i="87" a="1"/>
  <c r="E443" i="87" a="1"/>
  <c r="E581" i="87" a="1"/>
  <c r="E56" i="73" a="1"/>
  <c r="E143" i="87" a="1"/>
  <c r="H282" i="73" a="1"/>
  <c r="F237" i="73" a="1"/>
  <c r="G119" i="73" a="1"/>
  <c r="E39" i="87" a="1"/>
  <c r="E148" i="87" a="1"/>
  <c r="E328" i="87" a="1"/>
  <c r="E354" i="87" a="1"/>
  <c r="E85" i="73" a="1"/>
  <c r="E227" i="87" a="1"/>
  <c r="E309" i="87" a="1"/>
  <c r="E283" i="73" a="1"/>
  <c r="E112" i="73" a="1"/>
  <c r="E55" i="87" a="1"/>
  <c r="G149" i="73" a="1"/>
  <c r="I119" i="73" a="1"/>
  <c r="G129" i="73" a="1"/>
  <c r="E235" i="73" a="1"/>
  <c r="E241" i="87" a="1"/>
  <c r="H106" i="73" a="1"/>
  <c r="G112" i="73" a="1"/>
  <c r="E463" i="87" a="1"/>
  <c r="E73" i="73" a="1"/>
  <c r="H224" i="73" a="1"/>
  <c r="E592" i="87" a="1"/>
  <c r="E410" i="87" a="1"/>
  <c r="E68" i="73" a="1"/>
  <c r="E401" i="87" a="1"/>
  <c r="E184" i="87" a="1"/>
  <c r="I253" i="73" a="1"/>
  <c r="I203" i="73" a="1"/>
  <c r="E436" i="87" a="1"/>
  <c r="E234" i="73" a="1"/>
  <c r="E69" i="87" a="1"/>
  <c r="E111" i="73" a="1"/>
  <c r="F107" i="73" a="1"/>
  <c r="G219" i="73" a="1"/>
  <c r="G7" i="73" a="1"/>
  <c r="E465" i="87" a="1"/>
  <c r="H254" i="73" a="1"/>
  <c r="E79" i="87" a="1"/>
  <c r="E312" i="87" a="1"/>
  <c r="E271" i="87" a="1"/>
  <c r="E67" i="87" a="1"/>
  <c r="G88" i="73" a="1"/>
  <c r="E471" i="87" a="1"/>
  <c r="H244" i="73" a="1"/>
  <c r="F166" i="73" a="1"/>
  <c r="I252" i="73" a="1"/>
  <c r="E212" i="87" a="1"/>
  <c r="H227" i="73" a="1"/>
  <c r="E488" i="87" a="1"/>
  <c r="E196" i="87" a="1"/>
  <c r="E412" i="87" a="1"/>
  <c r="E66" i="87" a="1"/>
  <c r="I266" i="73" a="1"/>
  <c r="E22" i="87" a="1"/>
  <c r="E337" i="87" a="1"/>
  <c r="E206" i="73" a="1"/>
  <c r="E303" i="87" a="1"/>
  <c r="E475" i="87" a="1"/>
  <c r="E418" i="87" a="1"/>
  <c r="E457" i="87" a="1"/>
  <c r="E367" i="87" a="1"/>
  <c r="E396" i="87" a="1"/>
  <c r="E119" i="87" a="1"/>
  <c r="E12" i="87" a="1"/>
  <c r="E511" i="87" a="1"/>
  <c r="F81" i="73" a="1"/>
  <c r="E55" i="73" a="1"/>
  <c r="E374" i="87" a="1"/>
  <c r="H285" i="73" a="1"/>
  <c r="E239" i="73" a="1"/>
  <c r="H166" i="73" a="1"/>
  <c r="E491" i="87" a="1"/>
  <c r="E15" i="87" a="1"/>
  <c r="I126" i="73" a="1"/>
  <c r="E211" i="87" a="1"/>
  <c r="E11" i="87" a="1"/>
  <c r="E27" i="87" a="1"/>
  <c r="E336" i="87" a="1"/>
  <c r="E65" i="87" a="1"/>
  <c r="G227" i="73" a="1"/>
  <c r="G91" i="73" a="1"/>
  <c r="E295" i="87" a="1"/>
  <c r="H269" i="73" a="1"/>
  <c r="E259" i="73" a="1"/>
  <c r="E110" i="87" a="1"/>
  <c r="E268" i="87" a="1"/>
  <c r="E318" i="87" a="1"/>
  <c r="E368" i="87" a="1"/>
  <c r="E267" i="87" a="1"/>
  <c r="G63" i="73" a="1"/>
  <c r="F274" i="73" a="1"/>
  <c r="G118" i="73" a="1"/>
  <c r="H123" i="73" a="1"/>
  <c r="H63" i="73" a="1"/>
  <c r="E81" i="87" a="1"/>
  <c r="H48" i="73" a="1"/>
  <c r="E587" i="87" a="1"/>
  <c r="I98" i="73" a="1"/>
  <c r="I256" i="73" a="1"/>
  <c r="F162" i="73" a="1"/>
  <c r="E242" i="87" a="1"/>
  <c r="E8" i="87" a="1"/>
  <c r="G59" i="73" a="1"/>
  <c r="H95" i="73" a="1"/>
  <c r="G122" i="73" a="1"/>
  <c r="E94" i="73" a="1"/>
  <c r="H151" i="73" a="1"/>
  <c r="E552" i="87" a="1"/>
  <c r="E177" i="73" a="1"/>
  <c r="E89" i="87" a="1"/>
  <c r="E62" i="73" a="1"/>
  <c r="I36" i="73" a="1"/>
  <c r="F164" i="73" a="1"/>
  <c r="E21" i="87" a="1"/>
  <c r="I171" i="73" a="1"/>
  <c r="F185" i="73" a="1"/>
  <c r="E425" i="87" a="1"/>
  <c r="E21" i="73" a="1"/>
  <c r="I7" i="73" a="1"/>
  <c r="E148" i="73" a="1"/>
  <c r="G97" i="73" a="1"/>
  <c r="I184" i="73" a="1"/>
  <c r="I132" i="73" a="1"/>
  <c r="E218" i="73" a="1"/>
  <c r="G25" i="73" a="1"/>
  <c r="E35" i="73" a="1"/>
  <c r="E176" i="73" a="1"/>
  <c r="E99" i="73" a="1"/>
  <c r="H253" i="73" a="1"/>
  <c r="E268" i="73" a="1"/>
  <c r="E15" i="73" a="1"/>
  <c r="I67" i="73" a="1"/>
  <c r="F285" i="73" a="1"/>
  <c r="F132" i="73" a="1"/>
  <c r="E200" i="73" a="1"/>
  <c r="H204" i="73" a="1"/>
  <c r="E280" i="73" a="1"/>
  <c r="G171" i="73" a="1"/>
  <c r="E147" i="73" a="1"/>
  <c r="F14" i="73" a="1"/>
  <c r="E41" i="73" a="1"/>
  <c r="H127" i="73" a="1"/>
  <c r="I141" i="73" a="1"/>
  <c r="H103" i="73" a="1"/>
  <c r="E78" i="73" a="1"/>
  <c r="G197" i="73" a="1"/>
  <c r="I232" i="73" a="1"/>
  <c r="I167" i="73" a="1"/>
  <c r="H86" i="73" a="1"/>
  <c r="F25" i="73" a="1"/>
  <c r="G48" i="73" a="1"/>
  <c r="E223" i="73" a="1"/>
  <c r="G155" i="73" a="1"/>
  <c r="E95" i="87" a="1"/>
  <c r="G206" i="73" a="1"/>
  <c r="E194" i="87" a="1"/>
  <c r="E25" i="73" a="1"/>
  <c r="E134" i="73" a="1"/>
  <c r="E46" i="87" a="1"/>
  <c r="E498" i="87" a="1"/>
  <c r="E440" i="87" a="1"/>
  <c r="H62" i="73" a="1"/>
  <c r="H163" i="73" a="1"/>
  <c r="F34" i="73" a="1"/>
  <c r="E250" i="73" a="1"/>
  <c r="H132" i="73" a="1"/>
  <c r="E109" i="87" a="1"/>
  <c r="E580" i="87" a="1"/>
  <c r="E244" i="73" a="1"/>
  <c r="G160" i="73" a="1"/>
  <c r="G85" i="73" a="1"/>
  <c r="F272" i="73" a="1"/>
  <c r="E28" i="73" a="1"/>
  <c r="E406" i="87" a="1"/>
  <c r="G136" i="73" a="1"/>
  <c r="F190" i="73" a="1"/>
  <c r="E273" i="73" a="1"/>
  <c r="G187" i="73" a="1"/>
  <c r="E77" i="73" a="1"/>
  <c r="G277" i="73" a="1"/>
  <c r="I225" i="73" a="1"/>
  <c r="E192" i="73" a="1"/>
  <c r="H268" i="73" a="1"/>
  <c r="E119" i="73" a="1"/>
  <c r="H22" i="73" a="1"/>
  <c r="H116" i="73" a="1"/>
  <c r="I122" i="73" a="1"/>
  <c r="G255" i="73" a="1"/>
  <c r="E459" i="87" a="1"/>
  <c r="F79" i="73" a="1"/>
  <c r="G17" i="73" a="1"/>
  <c r="E80" i="87" a="1"/>
  <c r="H252" i="73" a="1"/>
  <c r="E32" i="73" a="1"/>
  <c r="F74" i="73" a="1"/>
  <c r="E286" i="73" a="1"/>
  <c r="E222" i="73" a="1"/>
  <c r="E340" i="87" a="1"/>
  <c r="H167" i="73" a="1"/>
  <c r="G49" i="73" a="1"/>
  <c r="E40" i="73" a="1"/>
  <c r="E359" i="87" a="1"/>
  <c r="E109" i="73" a="1"/>
  <c r="I175" i="73" a="1"/>
  <c r="E522" i="87" a="1"/>
  <c r="G170" i="73" a="1"/>
  <c r="G86" i="73" a="1"/>
  <c r="E432" i="87" a="1"/>
  <c r="E246" i="87" a="1"/>
  <c r="G106" i="73" a="1"/>
  <c r="E523" i="87" a="1"/>
  <c r="H88" i="73" a="1"/>
  <c r="G272" i="73" a="1"/>
  <c r="E57" i="73" a="1"/>
  <c r="E515" i="87" a="1"/>
  <c r="H152" i="73" a="1"/>
  <c r="F234" i="73" a="1"/>
  <c r="I244" i="73" a="1"/>
  <c r="F138" i="73" a="1"/>
  <c r="G202" i="73" a="1"/>
  <c r="F273" i="73" a="1"/>
  <c r="F59" i="73" a="1"/>
  <c r="I40" i="73" a="1"/>
  <c r="F82" i="73" a="1"/>
  <c r="F144" i="73" a="1"/>
  <c r="E63" i="73" a="1"/>
  <c r="E33" i="73" a="1"/>
  <c r="G258" i="73" a="1"/>
  <c r="F100" i="73" a="1"/>
  <c r="E58" i="73" a="1"/>
  <c r="E210" i="73" a="1"/>
  <c r="E251" i="87" a="1"/>
  <c r="H141" i="73" a="1"/>
  <c r="G42" i="73" a="1"/>
  <c r="H139" i="73" a="1"/>
  <c r="F267" i="73" a="1"/>
  <c r="E128" i="73" a="1"/>
  <c r="E84" i="73" a="1"/>
  <c r="E226" i="73" a="1"/>
  <c r="I106" i="73" a="1"/>
  <c r="E45" i="73" a="1"/>
  <c r="H161" i="73" a="1"/>
  <c r="E534" i="87" a="1"/>
  <c r="E29" i="73" a="1"/>
  <c r="F177" i="73" a="1"/>
  <c r="E203" i="73" a="1"/>
  <c r="G161" i="73" a="1"/>
  <c r="I125" i="73" a="1"/>
  <c r="F76" i="73" a="1"/>
  <c r="I208" i="73" a="1"/>
  <c r="I273" i="73" a="1"/>
  <c r="G203" i="73" a="1"/>
  <c r="G116" i="73" a="1"/>
  <c r="H250" i="73" a="1"/>
  <c r="E116" i="73" a="1"/>
  <c r="G27" i="73" a="1"/>
  <c r="G99" i="73" a="1"/>
  <c r="H183" i="73" a="1"/>
  <c r="F247" i="73" a="1"/>
  <c r="H200" i="73" a="1"/>
  <c r="F64" i="73" a="1"/>
  <c r="F62" i="73" a="1"/>
  <c r="I79" i="73" a="1"/>
  <c r="H71" i="73" a="1"/>
  <c r="E258" i="73" a="1"/>
  <c r="G178" i="73" a="1"/>
  <c r="I194" i="73" a="1"/>
  <c r="F90" i="73" a="1"/>
  <c r="E22" i="73" a="1"/>
  <c r="H6" i="73" a="1"/>
  <c r="H57" i="73" a="1"/>
  <c r="E24" i="73" a="1"/>
  <c r="E61" i="73" a="1"/>
  <c r="E413" i="87" a="1"/>
  <c r="I135" i="73" a="1"/>
  <c r="F16" i="73" a="1"/>
  <c r="H5" i="73" a="1"/>
  <c r="I237" i="73" a="1"/>
  <c r="G104" i="73" a="1"/>
  <c r="E65" i="73" a="1"/>
  <c r="F86" i="73" a="1"/>
  <c r="E220" i="73" a="1"/>
  <c r="F93" i="73" a="1"/>
  <c r="E480" i="87" a="1"/>
  <c r="F92" i="73" a="1"/>
  <c r="F288" i="73" a="1"/>
  <c r="H263" i="73" a="1"/>
  <c r="H138" i="73" a="1"/>
  <c r="I204" i="73" a="1"/>
  <c r="G285" i="73" a="1"/>
  <c r="F201" i="73" a="1"/>
  <c r="I76" i="73" a="1"/>
  <c r="G70" i="73" a="1"/>
  <c r="E91" i="73" a="1"/>
  <c r="H17" i="73" a="1"/>
  <c r="E19" i="73" a="1"/>
  <c r="F189" i="73" a="1"/>
  <c r="H85" i="73" a="1"/>
  <c r="E115" i="73" a="1"/>
  <c r="F204" i="73" a="1"/>
  <c r="F257" i="73" a="1"/>
  <c r="I226" i="73" a="1"/>
  <c r="G81" i="73" a="1"/>
  <c r="H185" i="73" a="1"/>
  <c r="E100" i="73" a="1"/>
  <c r="E243" i="73" a="1"/>
  <c r="H232" i="73" a="1"/>
  <c r="F68" i="73" a="1"/>
  <c r="I34" i="73" a="1"/>
  <c r="I229" i="73" a="1"/>
  <c r="H13" i="73" a="1"/>
  <c r="F60" i="73" a="1"/>
  <c r="H261" i="73" a="1"/>
  <c r="G288" i="73" a="1"/>
  <c r="H276" i="73" a="1"/>
  <c r="H203" i="73" a="1"/>
  <c r="I248" i="73" a="1"/>
  <c r="F159" i="73" a="1"/>
  <c r="F19" i="73" a="1"/>
  <c r="E421" i="87" a="1"/>
  <c r="G234" i="73" a="1"/>
  <c r="E95" i="73" a="1"/>
  <c r="F209" i="73" a="1"/>
  <c r="E493" i="87" a="1"/>
  <c r="E260" i="87" a="1"/>
  <c r="G123" i="73" a="1"/>
  <c r="I152" i="73" a="1"/>
  <c r="I191" i="73" a="1"/>
  <c r="E499" i="87" a="1"/>
  <c r="F39" i="73" a="1"/>
  <c r="E218" i="87" a="1"/>
  <c r="F226" i="73" a="1"/>
  <c r="H199" i="73" a="1"/>
  <c r="G247" i="73" a="1"/>
  <c r="E150" i="87" a="1"/>
  <c r="F84" i="73" a="1"/>
  <c r="E240" i="87" a="1"/>
  <c r="G193" i="73" a="1"/>
  <c r="E60" i="87" a="1"/>
  <c r="H49" i="73" a="1"/>
  <c r="F219" i="73" a="1"/>
  <c r="G266" i="73" a="1"/>
  <c r="E122" i="73" a="1"/>
  <c r="F106" i="73" a="1"/>
  <c r="G9" i="73" a="1"/>
  <c r="H140" i="73" a="1"/>
  <c r="F229" i="73" a="1"/>
  <c r="G154" i="73" a="1"/>
  <c r="E427" i="87" a="1"/>
  <c r="H184" i="73" a="1"/>
  <c r="I283" i="73" a="1"/>
  <c r="H126" i="73" a="1"/>
  <c r="G209" i="73" a="1"/>
  <c r="E138" i="73" a="1"/>
  <c r="E39" i="73" a="1"/>
  <c r="I3" i="73" a="1"/>
  <c r="H47" i="73" a="1"/>
  <c r="F73" i="73" a="1"/>
  <c r="I165" i="73" a="1"/>
  <c r="F235" i="73" a="1"/>
  <c r="I234" i="73" a="1"/>
  <c r="I74" i="73" a="1"/>
  <c r="F135" i="73" a="1"/>
  <c r="E177" i="87" a="1"/>
  <c r="F105" i="73" a="1"/>
  <c r="E189" i="73" a="1"/>
  <c r="E82" i="87" a="1"/>
  <c r="E12" i="73" a="1"/>
  <c r="H146" i="73" a="1"/>
  <c r="E108" i="87" a="1"/>
  <c r="E13" i="87" a="1"/>
  <c r="I105" i="73" a="1"/>
  <c r="E32" i="87" a="1"/>
  <c r="H193" i="73" a="1"/>
  <c r="I288" i="73" a="1"/>
  <c r="H77" i="73" a="1"/>
  <c r="F109" i="73" a="1"/>
  <c r="E263" i="73" a="1"/>
  <c r="F58" i="73" a="1"/>
  <c r="G158" i="73" a="1"/>
  <c r="E569" i="87" a="1"/>
  <c r="G140" i="73" a="1"/>
  <c r="H109" i="73" a="1"/>
  <c r="H142" i="73" a="1"/>
  <c r="H110" i="73" a="1"/>
  <c r="E225" i="73" a="1"/>
  <c r="E86" i="73" a="1"/>
  <c r="F208" i="73" a="1"/>
  <c r="G66" i="73" a="1"/>
  <c r="E132" i="73" a="1"/>
  <c r="F207" i="73" a="1"/>
  <c r="F29" i="73" a="1"/>
  <c r="H239" i="73" a="1"/>
  <c r="F265" i="73" a="1"/>
  <c r="G268" i="73" a="1"/>
  <c r="H23" i="73" a="1"/>
  <c r="E255" i="73" a="1"/>
  <c r="G105" i="73" a="1"/>
  <c r="I56" i="73" a="1"/>
  <c r="G224" i="73" a="1"/>
  <c r="F228" i="73" a="1"/>
  <c r="E381" i="87" a="1"/>
  <c r="F11" i="73" a="1"/>
  <c r="G62" i="73" a="1"/>
  <c r="E124" i="73" a="1"/>
  <c r="G164" i="73" a="1"/>
  <c r="E25" i="87" a="1"/>
  <c r="H21" i="73" a="1"/>
  <c r="E175" i="73" a="1"/>
  <c r="H189" i="73" a="1"/>
  <c r="E444" i="87" a="1"/>
  <c r="F83" i="73" a="1"/>
  <c r="H225" i="73" a="1"/>
  <c r="G82" i="73" a="1"/>
  <c r="F38" i="73" a="1"/>
  <c r="E351" i="87" a="1"/>
  <c r="I88" i="73" a="1"/>
  <c r="H278" i="73" a="1"/>
  <c r="I271" i="73" a="1"/>
  <c r="I107" i="73" a="1"/>
  <c r="I47" i="73" a="1"/>
  <c r="I27" i="73" a="1"/>
  <c r="I278" i="73" a="1"/>
  <c r="I265" i="73" a="1"/>
  <c r="F167" i="73" a="1"/>
  <c r="F87" i="73" a="1"/>
  <c r="E120" i="73" a="1"/>
  <c r="E43" i="73" a="1"/>
  <c r="G180" i="73" a="1"/>
  <c r="H133" i="73" a="1"/>
  <c r="G177" i="73" a="1"/>
  <c r="G248" i="73" a="1"/>
  <c r="I23" i="73" a="1"/>
  <c r="E270" i="73" a="1"/>
  <c r="H158" i="73" a="1"/>
  <c r="E193" i="73" a="1"/>
  <c r="H43" i="73" a="1"/>
  <c r="G87" i="73" a="1"/>
  <c r="G132" i="73" a="1"/>
  <c r="F264" i="73" a="1"/>
  <c r="F99" i="73" a="1"/>
  <c r="F238" i="73" a="1"/>
  <c r="G92" i="73" a="1"/>
  <c r="E183" i="73" a="1"/>
  <c r="E450" i="87" a="1"/>
  <c r="I82" i="73" a="1"/>
  <c r="I17" i="73" a="1"/>
  <c r="F165" i="73" a="1"/>
  <c r="F35" i="73" a="1"/>
  <c r="E223" i="87" a="1"/>
  <c r="F153" i="73" a="1"/>
  <c r="E170" i="87" a="1"/>
  <c r="F49" i="73" a="1"/>
  <c r="E449" i="87" a="1"/>
  <c r="G162" i="73" a="1"/>
  <c r="H78" i="73" a="1"/>
  <c r="E162" i="73" a="1"/>
  <c r="H34" i="73" a="1"/>
  <c r="E10" i="73" a="1"/>
  <c r="F191" i="73" a="1"/>
  <c r="H97" i="73" a="1"/>
  <c r="G15" i="73" a="1"/>
  <c r="F198" i="73" a="1"/>
  <c r="E394" i="87" a="1"/>
  <c r="E482" i="87" a="1"/>
  <c r="E276" i="73" a="1"/>
  <c r="E386" i="87" a="1"/>
  <c r="E117" i="73" a="1"/>
  <c r="H68" i="73" a="1"/>
  <c r="I201" i="73" a="1"/>
  <c r="I217" i="73" a="1"/>
  <c r="I158" i="73" a="1"/>
  <c r="H196" i="73" a="1"/>
  <c r="F276" i="73" a="1"/>
  <c r="G271" i="73" a="1"/>
  <c r="E48" i="73" a="1"/>
  <c r="H168" i="73" a="1"/>
  <c r="H284" i="73" a="1"/>
  <c r="E87" i="73" a="1"/>
  <c r="H155" i="73" a="1"/>
  <c r="G240" i="73" a="1"/>
  <c r="G241" i="73" a="1"/>
  <c r="E265" i="73" a="1"/>
  <c r="F95" i="73" a="1"/>
  <c r="I255" i="73" a="1"/>
  <c r="E241" i="73" a="1"/>
  <c r="E194" i="73" a="1"/>
  <c r="E260" i="73" a="1"/>
  <c r="I270" i="73" a="1"/>
  <c r="E102" i="73" a="1"/>
  <c r="I48" i="73" a="1"/>
  <c r="I38" i="73" a="1"/>
  <c r="I120" i="73" a="1"/>
  <c r="F172" i="73" a="1"/>
  <c r="I28" i="73" a="1"/>
  <c r="H265" i="73" a="1"/>
  <c r="H242" i="73" a="1"/>
  <c r="I230" i="73" a="1"/>
  <c r="H98" i="73" a="1"/>
  <c r="I139" i="73" a="1"/>
  <c r="H129" i="73" a="1"/>
  <c r="F134" i="73" a="1"/>
  <c r="E3" i="87" a="1"/>
  <c r="I268" i="73" a="1"/>
  <c r="H87" i="73" a="1"/>
  <c r="I166" i="73" a="1"/>
  <c r="H172" i="73" a="1"/>
  <c r="G113" i="73" a="1"/>
  <c r="E152" i="87" a="1"/>
  <c r="G239" i="73" a="1"/>
  <c r="I197" i="73" a="1"/>
  <c r="I157" i="73" a="1"/>
  <c r="H230" i="73" a="1"/>
  <c r="G60" i="73" a="1"/>
  <c r="F98" i="73" a="1"/>
  <c r="I22" i="73" a="1"/>
  <c r="E38" i="73" a="1"/>
  <c r="F244" i="73" a="1"/>
  <c r="F78" i="73" a="1"/>
  <c r="G41" i="73" a="1"/>
  <c r="H100" i="73" a="1"/>
  <c r="G101" i="73" a="1"/>
  <c r="I14" i="73" a="1"/>
  <c r="F48" i="73" a="1"/>
  <c r="I4" i="73" a="1"/>
  <c r="G16" i="73" a="1"/>
  <c r="I133" i="73" a="1"/>
  <c r="I46" i="73" a="1"/>
  <c r="H84" i="73" a="1"/>
  <c r="G13" i="73" a="1"/>
  <c r="I110" i="73" a="1"/>
  <c r="I222" i="73" a="1"/>
  <c r="F46" i="73" a="1"/>
  <c r="G283" i="73" a="1"/>
  <c r="E174" i="73" a="1"/>
  <c r="I224" i="73" a="1"/>
  <c r="I233" i="73" a="1"/>
  <c r="G184" i="73" a="1"/>
  <c r="E80" i="73" a="1"/>
  <c r="I113" i="73" a="1"/>
  <c r="I26" i="73" a="1"/>
  <c r="H157" i="73" a="1"/>
  <c r="G109" i="73" a="1"/>
  <c r="E90" i="73" a="1"/>
  <c r="G225" i="73" a="1"/>
  <c r="I72" i="73" a="1"/>
  <c r="G120" i="73" a="1"/>
  <c r="G95" i="73" a="1"/>
  <c r="I62" i="73" a="1"/>
  <c r="E248" i="73" a="1"/>
  <c r="F284" i="73" a="1"/>
  <c r="G254" i="73" a="1"/>
  <c r="F245" i="73" a="1"/>
  <c r="G138" i="73" a="1"/>
  <c r="G64" i="73" a="1"/>
  <c r="H108" i="73" a="1"/>
  <c r="H288" i="73" a="1"/>
  <c r="H36" i="73" a="1"/>
  <c r="E598" i="87" a="1"/>
  <c r="H122" i="73" a="1"/>
  <c r="H14" i="73" a="1"/>
  <c r="H101" i="73" a="1"/>
  <c r="E272" i="87" a="1"/>
  <c r="E229" i="87" a="1"/>
  <c r="G8" i="73" a="1"/>
  <c r="H264" i="73" a="1"/>
  <c r="I279" i="73" a="1"/>
  <c r="E164" i="73" a="1"/>
  <c r="I162" i="73" a="1"/>
  <c r="I19" i="73" a="1"/>
  <c r="H90" i="73" a="1"/>
  <c r="E205" i="73" a="1"/>
  <c r="I9" i="73" a="1"/>
  <c r="F21" i="73" a="1"/>
  <c r="H46" i="73" a="1"/>
  <c r="E143" i="73" a="1"/>
  <c r="G222" i="73" a="1"/>
  <c r="H266" i="73" a="1"/>
  <c r="I81" i="73" a="1"/>
  <c r="I261" i="73" a="1"/>
  <c r="E72" i="73" a="1"/>
  <c r="F282" i="73" a="1"/>
  <c r="I218" i="73" a="1"/>
  <c r="H238" i="73" a="1"/>
  <c r="H134" i="73" a="1"/>
  <c r="F65" i="73" a="1"/>
  <c r="I87" i="73" a="1"/>
  <c r="G18" i="73" a="1"/>
  <c r="H3" i="73" a="1"/>
  <c r="I66" i="73" a="1"/>
  <c r="G264" i="73" a="1"/>
  <c r="G78" i="73" a="1"/>
  <c r="G269" i="73" a="1"/>
  <c r="G235" i="73" a="1"/>
  <c r="H207" i="73" a="1"/>
  <c r="G76" i="73" a="1"/>
  <c r="I180" i="73" a="1"/>
  <c r="F103" i="73" a="1"/>
  <c r="I5" i="73" a="1"/>
  <c r="I269" i="73" a="1"/>
  <c r="H208" i="73" a="1"/>
  <c r="G172" i="73" a="1"/>
  <c r="E285" i="73" a="1"/>
  <c r="E267" i="73" a="1"/>
  <c r="G73" i="73" a="1"/>
  <c r="H221" i="73" a="1"/>
  <c r="G287" i="73" a="1"/>
  <c r="H44" i="73" a="1"/>
  <c r="E113" i="73" a="1"/>
  <c r="F270" i="73" a="1"/>
  <c r="I260" i="73" a="1"/>
  <c r="E257" i="73" a="1"/>
  <c r="E199" i="73" a="1"/>
  <c r="I90" i="73" a="1"/>
  <c r="H209" i="73" a="1"/>
  <c r="I161" i="73" a="1"/>
  <c r="G51" i="73" a="1"/>
  <c r="G33" i="73" a="1"/>
  <c r="E14" i="73" a="1"/>
  <c r="I35" i="73" a="1"/>
  <c r="G103" i="73" a="1"/>
  <c r="G261" i="73" a="1"/>
  <c r="E71" i="73" a="1"/>
  <c r="G274" i="73" a="1"/>
  <c r="E305" i="87" a="1"/>
  <c r="E60" i="73" a="1"/>
  <c r="H33" i="73" a="1"/>
  <c r="F88" i="73" a="1"/>
  <c r="F154" i="73" a="1"/>
  <c r="E82" i="73" a="1"/>
  <c r="E231" i="87" a="1"/>
  <c r="G135" i="73" a="1"/>
  <c r="H79" i="73" a="1"/>
  <c r="F240" i="73" a="1"/>
  <c r="I91" i="73" a="1"/>
  <c r="H144" i="73" a="1"/>
  <c r="E129" i="73" a="1"/>
  <c r="H35" i="73" a="1"/>
  <c r="H177" i="73" a="1"/>
  <c r="H115" i="73" a="1"/>
  <c r="E254" i="73" a="1"/>
  <c r="I60" i="73" a="1"/>
  <c r="G205" i="73" a="1"/>
  <c r="F4" i="73" a="1"/>
  <c r="H174" i="73" a="1"/>
  <c r="E152" i="73" a="1"/>
  <c r="F155" i="73" a="1"/>
  <c r="E110" i="73" a="1"/>
  <c r="F66" i="73" a="1"/>
  <c r="E181" i="73" a="1"/>
  <c r="E7" i="73" a="1"/>
  <c r="G35" i="73" a="1"/>
  <c r="G263" i="73" a="1"/>
  <c r="H105" i="73" a="1"/>
  <c r="G29" i="73" a="1"/>
  <c r="H283" i="73" a="1"/>
  <c r="E20" i="73" a="1"/>
  <c r="E130" i="73" a="1"/>
  <c r="I51" i="73" a="1"/>
  <c r="I196" i="73" a="1"/>
  <c r="G110" i="73" a="1"/>
  <c r="H118" i="73" a="1"/>
  <c r="H257" i="73" a="1"/>
  <c r="I59" i="73" a="1"/>
  <c r="G144" i="73" a="1"/>
  <c r="F196" i="73" a="1"/>
  <c r="E144" i="73" a="1"/>
  <c r="F227" i="73" a="1"/>
  <c r="G4" i="73" a="1"/>
  <c r="I286" i="73" a="1"/>
  <c r="H7" i="73" a="1"/>
  <c r="E157" i="73" a="1"/>
  <c r="F10" i="73" a="1"/>
  <c r="G260" i="73" a="1"/>
  <c r="H70" i="73" a="1"/>
  <c r="E37" i="73" a="1"/>
  <c r="F180" i="73" a="1"/>
  <c r="I25" i="73" a="1"/>
  <c r="E159" i="73" a="1"/>
  <c r="F6" i="73" a="1"/>
  <c r="F23" i="73" a="1"/>
  <c r="G141" i="73" a="1"/>
  <c r="F225" i="73" a="1"/>
  <c r="F97" i="73" a="1"/>
  <c r="F96" i="73" a="1"/>
  <c r="H188" i="73" a="1"/>
  <c r="F18" i="73" a="1"/>
  <c r="H60" i="73" a="1"/>
  <c r="E216" i="73" a="1"/>
  <c r="G208" i="73" a="1"/>
  <c r="I242" i="73" a="1"/>
  <c r="E137" i="73" a="1"/>
  <c r="H246" i="73" a="1"/>
  <c r="H41" i="73" a="1"/>
  <c r="F136" i="73" a="1"/>
  <c r="E178" i="73" a="1"/>
  <c r="H19" i="73" a="1"/>
  <c r="H256" i="73" a="1"/>
  <c r="F171" i="73" a="1"/>
  <c r="I195" i="73" a="1"/>
  <c r="G36" i="73" a="1"/>
  <c r="F218" i="73" a="1"/>
  <c r="H175" i="73" a="1"/>
  <c r="F5" i="73" a="1"/>
  <c r="E601" i="87" a="1"/>
  <c r="E207" i="73" a="1"/>
  <c r="H10" i="73" a="1"/>
  <c r="G279" i="73" a="1"/>
  <c r="F43" i="73" a="1"/>
  <c r="E161" i="73" a="1"/>
  <c r="E160" i="73" a="1"/>
  <c r="F258" i="73" a="1"/>
  <c r="G267" i="73" a="1"/>
  <c r="E145" i="73" a="1"/>
  <c r="G174" i="73" a="1"/>
  <c r="F170" i="73" a="1"/>
  <c r="E243" i="87" a="1"/>
  <c r="I41" i="73" a="1"/>
  <c r="E92" i="73" a="1"/>
  <c r="E113" i="87" a="1"/>
  <c r="G39" i="73" a="1"/>
  <c r="H16" i="73" a="1"/>
  <c r="F71" i="73" a="1"/>
  <c r="H56" i="73" a="1"/>
  <c r="E163" i="73" a="1"/>
  <c r="G83" i="73" a="1"/>
  <c r="G281" i="73" a="1"/>
  <c r="I263" i="73" a="1"/>
  <c r="F241" i="73" a="1"/>
  <c r="I202" i="73" a="1"/>
  <c r="E481" i="87" a="1"/>
  <c r="G57" i="73" a="1"/>
  <c r="E133" i="73" a="1"/>
  <c r="F160" i="73" a="1"/>
  <c r="H29" i="73" a="1"/>
  <c r="F271" i="73" a="1"/>
  <c r="I85" i="73" a="1"/>
  <c r="I173" i="73" a="1"/>
  <c r="G77" i="73" a="1"/>
  <c r="E88" i="73" a="1"/>
  <c r="E196" i="73" a="1"/>
  <c r="I148" i="73" a="1"/>
  <c r="F239" i="73" a="1"/>
  <c r="F20" i="73" a="1"/>
  <c r="I235" i="73" a="1"/>
  <c r="F113" i="73" a="1"/>
  <c r="E275" i="73" a="1"/>
  <c r="G163" i="73" a="1"/>
  <c r="E75" i="73" a="1"/>
  <c r="G115" i="73" a="1"/>
  <c r="G273" i="73" a="1"/>
  <c r="E59" i="73" a="1"/>
  <c r="I112" i="73" a="1"/>
  <c r="I200" i="73" a="1"/>
  <c r="F205" i="73" a="1"/>
  <c r="G58" i="73" a="1"/>
  <c r="E251" i="73" a="1"/>
  <c r="H58" i="73" a="1"/>
  <c r="I168" i="73" a="1"/>
  <c r="F119" i="73" a="1"/>
  <c r="I272" i="73" a="1"/>
  <c r="I245" i="73" a="1"/>
  <c r="I16" i="73" a="1"/>
  <c r="F220" i="73" a="1"/>
  <c r="E264" i="73" a="1"/>
  <c r="H82" i="73" a="1"/>
  <c r="F77" i="73" a="1"/>
  <c r="I267" i="73" a="1"/>
  <c r="I146" i="73" a="1"/>
  <c r="H153" i="73" a="1"/>
  <c r="E42" i="73" a="1"/>
  <c r="H171" i="73" a="1"/>
  <c r="E262" i="73" a="1"/>
  <c r="I20" i="73" a="1"/>
  <c r="F168" i="73" a="1"/>
  <c r="I264" i="73" a="1"/>
  <c r="E240" i="73" a="1"/>
  <c r="F129" i="73" a="1"/>
  <c r="F232" i="73" a="1"/>
  <c r="H273" i="73" a="1"/>
  <c r="H205" i="73" a="1"/>
  <c r="F224" i="73" a="1"/>
  <c r="E172" i="73" a="1"/>
  <c r="F261" i="73" a="1"/>
  <c r="I193" i="73" a="1"/>
  <c r="E140" i="73" a="1"/>
  <c r="H249" i="73" a="1"/>
  <c r="F50" i="73" a="1"/>
  <c r="E201" i="73" a="1"/>
  <c r="F256" i="73" a="1"/>
  <c r="H73" i="73" a="1"/>
  <c r="E180" i="73" a="1"/>
  <c r="F117" i="73" a="1"/>
  <c r="G246" i="73" a="1"/>
  <c r="G238" i="73" a="1"/>
  <c r="I78" i="73" a="1"/>
  <c r="F36" i="73" a="1"/>
  <c r="I39" i="73" a="1"/>
  <c r="E179" i="73" a="1"/>
  <c r="H226" i="73" a="1"/>
  <c r="E81" i="73" a="1"/>
  <c r="G237" i="73" a="1"/>
  <c r="E89" i="73" a="1"/>
  <c r="E104" i="73" a="1"/>
  <c r="H8" i="73" a="1"/>
  <c r="H234" i="73" a="1"/>
  <c r="F263" i="73" a="1"/>
  <c r="F206" i="73" a="1"/>
  <c r="I97" i="73" a="1"/>
  <c r="F123" i="73" a="1"/>
  <c r="F174" i="73" a="1"/>
  <c r="I83" i="73" a="1"/>
  <c r="H104" i="73" a="1"/>
  <c r="F231" i="73" a="1"/>
  <c r="I68" i="73" a="1"/>
  <c r="F193" i="73" a="1"/>
  <c r="E477" i="87" a="1"/>
  <c r="F3" i="73" a="1"/>
  <c r="H156" i="73" a="1"/>
  <c r="I21" i="73" a="1"/>
  <c r="I100" i="73" a="1"/>
  <c r="F197" i="73" a="1"/>
  <c r="I276" i="73" a="1"/>
  <c r="H113" i="73" a="1"/>
  <c r="G44" i="73" a="1"/>
  <c r="F44" i="73" a="1"/>
  <c r="I86" i="73" a="1"/>
  <c r="F70" i="73" a="1"/>
  <c r="E127" i="73" a="1"/>
  <c r="G199" i="73" a="1"/>
  <c r="E139" i="73" a="1"/>
  <c r="G286" i="73" a="1"/>
  <c r="F246" i="73" a="1"/>
  <c r="H182" i="73" a="1"/>
  <c r="H159" i="73" a="1"/>
  <c r="G284" i="73" a="1"/>
  <c r="E219" i="87" a="1"/>
  <c r="I238" i="73" a="1"/>
  <c r="H190" i="73" a="1"/>
  <c r="I127" i="73" a="1"/>
  <c r="G218" i="73" a="1"/>
  <c r="E247" i="73" a="1"/>
  <c r="E557" i="87" a="1"/>
  <c r="G195" i="73" a="1"/>
  <c r="I239" i="73" a="1"/>
  <c r="I170" i="73" a="1"/>
  <c r="H135" i="73" a="1"/>
  <c r="E146" i="73" a="1"/>
  <c r="G20" i="73" a="1"/>
  <c r="G84" i="73" a="1"/>
  <c r="F221" i="73" a="1"/>
  <c r="I49" i="73" a="1"/>
  <c r="E284" i="73" a="1"/>
  <c r="I118" i="73" a="1"/>
  <c r="G230" i="73" a="1"/>
  <c r="G79" i="73" a="1"/>
  <c r="H9" i="73" a="1"/>
  <c r="F112" i="73" a="1"/>
  <c r="E245" i="73" a="1"/>
  <c r="E165" i="73" a="1"/>
  <c r="G100" i="73" a="1"/>
  <c r="H80" i="73" a="1"/>
  <c r="G217" i="73" a="1"/>
  <c r="H277" i="73" a="1"/>
  <c r="H272" i="73" a="1"/>
  <c r="H99" i="73" a="1"/>
  <c r="H187" i="73" a="1"/>
  <c r="I190" i="73" a="1"/>
  <c r="F45" i="73" a="1"/>
  <c r="F188" i="73" a="1"/>
  <c r="G221" i="73" a="1"/>
  <c r="F139" i="73" a="1"/>
  <c r="I80" i="73" a="1"/>
  <c r="E83" i="73" a="1"/>
  <c r="H279" i="73" a="1"/>
  <c r="E18" i="73" a="1"/>
  <c r="G22" i="73" a="1"/>
  <c r="H237" i="73" a="1"/>
  <c r="H149" i="73" a="1"/>
  <c r="G117" i="73" a="1"/>
  <c r="E302" i="87" a="1"/>
  <c r="H120" i="73" a="1"/>
  <c r="F152" i="73" a="1"/>
  <c r="E27" i="73" a="1"/>
  <c r="E170" i="73" a="1"/>
  <c r="E36" i="73" a="1"/>
  <c r="E282" i="73" a="1"/>
  <c r="F108" i="73" a="1"/>
  <c r="E123" i="73" a="1"/>
  <c r="G282" i="73" a="1"/>
  <c r="I43" i="73" a="1"/>
  <c r="E141" i="73" a="1"/>
  <c r="E185" i="73" a="1"/>
  <c r="I140" i="73" a="1"/>
  <c r="I18" i="73" a="1"/>
  <c r="E76" i="73" a="1"/>
  <c r="I284" i="73" a="1"/>
  <c r="F57" i="73" a="1"/>
  <c r="H50" i="73" a="1"/>
  <c r="G191" i="73" a="1"/>
  <c r="H240" i="73" a="1"/>
  <c r="G226" i="73" a="1"/>
  <c r="G242" i="73" a="1"/>
  <c r="F217" i="73" a="1"/>
  <c r="E195" i="73" a="1"/>
  <c r="I241" i="73" a="1"/>
  <c r="E277" i="73" a="1"/>
  <c r="G182" i="73" a="1"/>
  <c r="E79" i="73" a="1"/>
  <c r="F141" i="73" a="1"/>
  <c r="F146" i="73" a="1"/>
  <c r="G127" i="73" a="1"/>
  <c r="H65" i="73" a="1"/>
  <c r="H281" i="73" a="1"/>
  <c r="E107" i="73" a="1"/>
  <c r="E232" i="73" a="1"/>
  <c r="I103" i="73" a="1"/>
  <c r="G244" i="73" a="1"/>
  <c r="H59" i="73" a="1"/>
  <c r="F242" i="73" a="1"/>
  <c r="E269" i="73" a="1"/>
  <c r="E287" i="73" a="1"/>
  <c r="H45" i="73" a="1"/>
  <c r="E96" i="73" a="1"/>
  <c r="G47" i="73" a="1"/>
  <c r="G12" i="73" a="1"/>
  <c r="G23" i="73" a="1"/>
  <c r="I12" i="73" a="1"/>
  <c r="G50" i="73" a="1"/>
  <c r="G151" i="73" a="1"/>
  <c r="G159" i="73" a="1"/>
  <c r="F8" i="73" a="1"/>
  <c r="H195" i="73" a="1"/>
  <c r="E135" i="73" a="1"/>
  <c r="G139" i="73" a="1"/>
  <c r="I109" i="73" a="1"/>
  <c r="I65" i="73" a="1"/>
  <c r="H222" i="73" a="1"/>
  <c r="G133" i="73" a="1"/>
  <c r="G96" i="73" a="1"/>
  <c r="E279" i="73" a="1"/>
  <c r="F115" i="73" a="1"/>
  <c r="H28" i="73" a="1"/>
  <c r="E64" i="73" a="1"/>
  <c r="E17" i="73" a="1"/>
  <c r="F156" i="73" a="1"/>
  <c r="I219" i="73" a="1"/>
  <c r="G107" i="73" a="1"/>
  <c r="F157" i="73" a="1"/>
  <c r="H27" i="73" a="1"/>
  <c r="E13" i="73" a="1"/>
  <c r="I77" i="73" a="1"/>
  <c r="F40" i="73" a="1"/>
  <c r="E145" i="87" a="1"/>
  <c r="E380" i="87" a="1"/>
  <c r="H91" i="73" a="1"/>
  <c r="G68" i="73" a="1"/>
  <c r="I130" i="73" a="1"/>
  <c r="E138" i="87" a="1"/>
  <c r="H258" i="73" a="1"/>
  <c r="E288" i="73" a="1"/>
  <c r="I164" i="73" a="1"/>
  <c r="F17" i="73" a="1"/>
  <c r="F128" i="73" a="1"/>
  <c r="H107" i="73" a="1"/>
  <c r="H164" i="73" a="1"/>
  <c r="F183" i="73" a="1"/>
  <c r="E422" i="87" a="1"/>
  <c r="F187" i="73" a="1"/>
  <c r="E101" i="73" a="1"/>
  <c r="G153" i="73" a="1"/>
  <c r="F26" i="73" a="1"/>
  <c r="E442" i="87" a="1"/>
  <c r="E106" i="73" a="1"/>
  <c r="H24" i="73" a="1"/>
  <c r="F110" i="73" a="1"/>
  <c r="H241" i="73" a="1"/>
  <c r="I151" i="73" a="1"/>
  <c r="E187" i="73" a="1"/>
  <c r="E197" i="73" a="1"/>
  <c r="F15" i="73" a="1"/>
  <c r="F286" i="73" a="1"/>
  <c r="E158" i="73" a="1"/>
  <c r="E166" i="73" a="1"/>
  <c r="I24" i="73" a="1"/>
  <c r="F56" i="73" a="1"/>
  <c r="E156" i="73" a="1"/>
  <c r="E126" i="73" a="1"/>
  <c r="G142" i="73" a="1"/>
  <c r="I178" i="73" a="1"/>
  <c r="I129" i="73" a="1"/>
  <c r="I44" i="73" a="1"/>
  <c r="I73" i="73" a="1"/>
  <c r="I160" i="73" a="1"/>
  <c r="I134" i="73" a="1"/>
  <c r="F277" i="73" a="1"/>
  <c r="H81" i="73" a="1"/>
  <c r="I163" i="73" a="1"/>
  <c r="H66" i="73" a="1"/>
  <c r="H178" i="73" a="1"/>
  <c r="I250" i="73" a="1"/>
  <c r="F104" i="73" a="1"/>
  <c r="E11" i="73" a="1"/>
  <c r="I277" i="73" a="1"/>
  <c r="E114" i="73" a="1"/>
  <c r="G6" i="73" a="1"/>
  <c r="E155" i="73" a="1"/>
  <c r="H287" i="73" a="1"/>
  <c r="I42" i="73" a="1"/>
  <c r="I84" i="73" a="1"/>
  <c r="E236" i="73" a="1"/>
  <c r="G125" i="73" a="1"/>
  <c r="E50" i="73" a="1"/>
  <c r="I15" i="73" a="1"/>
  <c r="E252" i="73" a="1"/>
  <c r="G148" i="73" a="1"/>
  <c r="E221" i="73" a="1"/>
  <c r="E151" i="73" a="1"/>
  <c r="H111" i="73" a="1"/>
  <c r="I70" i="73" a="1"/>
  <c r="E105" i="73" a="1"/>
  <c r="G262" i="73" a="1"/>
  <c r="G157" i="73" a="1"/>
  <c r="I93" i="73" a="1"/>
  <c r="E66" i="73" a="1"/>
  <c r="I258" i="73" a="1"/>
  <c r="E6" i="73" a="1"/>
  <c r="F101" i="73" a="1"/>
  <c r="H218" i="73" a="1"/>
  <c r="I176" i="73" a="1"/>
  <c r="F22" i="73" a="1"/>
  <c r="H255" i="73" a="1"/>
  <c r="E186" i="73" a="1"/>
  <c r="F41" i="73" a="1"/>
  <c r="I189" i="73" a="1"/>
  <c r="I11" i="73" a="1"/>
  <c r="E227" i="73" a="1"/>
  <c r="H15" i="73" a="1"/>
  <c r="E4" i="73" a="1"/>
  <c r="F111" i="73" a="1"/>
  <c r="E242" i="73" a="1"/>
  <c r="G250" i="73" a="1"/>
  <c r="H271" i="73" a="1"/>
  <c r="G228" i="73" a="1"/>
  <c r="I101" i="73" a="1"/>
  <c r="F194" i="73" a="1"/>
  <c r="G21" i="73" a="1"/>
  <c r="E173" i="73" a="1"/>
  <c r="I236" i="73" a="1"/>
  <c r="G72" i="73" a="1"/>
  <c r="E231" i="73" a="1"/>
  <c r="H173" i="73" a="1"/>
  <c r="H64" i="73" a="1"/>
  <c r="F91" i="73" a="1"/>
  <c r="G175" i="73" a="1"/>
  <c r="H270" i="73" a="1"/>
  <c r="G278" i="73" a="1"/>
  <c r="G232" i="73" a="1"/>
  <c r="H128" i="73" a="1"/>
  <c r="I57" i="73" a="1"/>
  <c r="I247" i="73" a="1"/>
  <c r="H231" i="73" a="1"/>
  <c r="F268" i="73" a="1"/>
  <c r="H220" i="73" a="1"/>
  <c r="F279" i="73" a="1"/>
  <c r="H235" i="73" a="1"/>
  <c r="I246" i="73" a="1"/>
  <c r="I282" i="73" a="1"/>
  <c r="E2" i="73" a="1"/>
  <c r="G265" i="73" a="1"/>
  <c r="I45" i="73" a="1"/>
  <c r="G201" i="73" a="1"/>
  <c r="F127" i="73" a="1"/>
  <c r="H26" i="73" a="1"/>
  <c r="I185" i="73" a="1"/>
  <c r="F266" i="73" a="1"/>
  <c r="I64" i="73" a="1"/>
  <c r="E44" i="73" a="1"/>
  <c r="F130" i="73" a="1"/>
  <c r="H176" i="73" a="1"/>
  <c r="E230" i="73" a="1"/>
  <c r="E246" i="73" a="1"/>
  <c r="E208" i="73" a="1"/>
  <c r="I177" i="73" a="1"/>
  <c r="I149" i="73" a="1"/>
  <c r="G185" i="73" a="1"/>
  <c r="H160" i="73" a="1"/>
  <c r="E97" i="73" a="1"/>
  <c r="F24" i="73" a="1"/>
  <c r="I104" i="73" a="1"/>
  <c r="E204" i="73" a="1"/>
  <c r="G45" i="73" a="1"/>
  <c r="E219" i="73" a="1"/>
  <c r="G67" i="73" a="1"/>
  <c r="I205" i="73" a="1"/>
  <c r="E190" i="73" a="1"/>
  <c r="G19" i="73" a="1"/>
  <c r="H267" i="73" a="1"/>
  <c r="E271" i="73" a="1"/>
  <c r="H136" i="73" a="1"/>
  <c r="G108" i="73" a="1"/>
  <c r="H165" i="73" a="1"/>
  <c r="H38" i="73" a="1"/>
  <c r="G253" i="73" a="1"/>
  <c r="E261" i="73" a="1"/>
  <c r="I92" i="73" a="1"/>
  <c r="G34" i="73" a="1"/>
  <c r="I50" i="73" a="1"/>
  <c r="F122" i="73" a="1"/>
  <c r="I281" i="73" a="1"/>
  <c r="H194" i="73" a="1"/>
  <c r="F125" i="73" a="1"/>
  <c r="E317" i="87" a="1"/>
  <c r="H20" i="73" a="1"/>
  <c r="E46" i="73" a="1"/>
  <c r="E182" i="73" a="1"/>
  <c r="H130" i="73" a="1"/>
  <c r="G128" i="73" a="1"/>
  <c r="E74" i="73" a="1"/>
  <c r="G40" i="73" a="1"/>
  <c r="I128" i="73" a="1"/>
  <c r="G168" i="73" a="1"/>
  <c r="G65" i="73" a="1"/>
  <c r="G28" i="73" a="1"/>
  <c r="G74" i="73" a="1"/>
  <c r="F252" i="73" a="1"/>
  <c r="G167" i="73" a="1"/>
  <c r="F42" i="73" a="1"/>
  <c r="G257" i="73" a="1"/>
  <c r="F142" i="73" a="1"/>
  <c r="I221" i="73" a="1"/>
  <c r="F9" i="73" a="1"/>
  <c r="E256" i="73" a="1"/>
  <c r="F27" i="73" a="1"/>
  <c r="I99" i="73" a="1"/>
  <c r="I188" i="73" a="1"/>
  <c r="E142" i="73" a="1"/>
  <c r="F248" i="73" a="1"/>
  <c r="H96" i="73" a="1"/>
  <c r="G245" i="73" a="1"/>
  <c r="I136" i="73" a="1"/>
  <c r="H233" i="73" a="1"/>
  <c r="I183" i="73" a="1"/>
  <c r="G126" i="73" a="1"/>
  <c r="I227" i="73" a="1"/>
  <c r="E149" i="73" a="1"/>
  <c r="G236" i="73" a="1"/>
  <c r="E191" i="73" a="1"/>
  <c r="E249" i="73" a="1"/>
  <c r="G270" i="73" a="1"/>
  <c r="I206" i="73" a="1"/>
  <c r="H170" i="73" a="1"/>
  <c r="H247" i="73" a="1"/>
  <c r="F233" i="73" a="1"/>
  <c r="G200" i="73" a="1"/>
  <c r="E233" i="73" a="1"/>
  <c r="H262" i="73" a="1"/>
  <c r="G3" i="73" a="1"/>
  <c r="F161" i="73" a="1"/>
  <c r="I172" i="73" a="1"/>
  <c r="G56" i="73" a="1"/>
  <c r="I182" i="73" a="1"/>
  <c r="F47" i="73" a="1"/>
  <c r="E131" i="73" a="1"/>
  <c r="E209" i="73" a="1"/>
  <c r="E297" i="87" a="1"/>
  <c r="I220" i="73" a="1"/>
  <c r="E274" i="73" a="1"/>
  <c r="F126" i="73" a="1"/>
  <c r="G231" i="73" a="1"/>
  <c r="F67" i="73" a="1"/>
  <c r="I199" i="73" a="1"/>
  <c r="I257" i="73" a="1"/>
  <c r="F262" i="73" a="1"/>
  <c r="E229" i="73" a="1"/>
  <c r="E150" i="73" a="1"/>
  <c r="I198" i="73" a="1"/>
  <c r="I231" i="73" a="1"/>
  <c r="F281" i="73" a="1"/>
  <c r="I209" i="73" a="1"/>
  <c r="E23" i="73" a="1"/>
  <c r="E237" i="73" a="1"/>
  <c r="E118" i="73" a="1"/>
  <c r="H198" i="73" a="1"/>
  <c r="I117" i="73" a="1"/>
  <c r="E168" i="73" a="1"/>
  <c r="E9" i="73" a="1"/>
  <c r="E9" i="73" l="1"/>
  <c r="E168" i="73"/>
  <c r="I117" i="73"/>
  <c r="H198" i="73"/>
  <c r="E118" i="73"/>
  <c r="E237" i="73"/>
  <c r="E23" i="73"/>
  <c r="I209" i="73"/>
  <c r="F281" i="73"/>
  <c r="I231" i="73"/>
  <c r="I198" i="73"/>
  <c r="E150" i="73"/>
  <c r="E229" i="73"/>
  <c r="F262" i="73"/>
  <c r="I257" i="73"/>
  <c r="I199" i="73"/>
  <c r="F67" i="73"/>
  <c r="G231" i="73"/>
  <c r="F126" i="73"/>
  <c r="E274" i="73"/>
  <c r="I220" i="73"/>
  <c r="E297" i="87"/>
  <c r="E209" i="73"/>
  <c r="E131" i="73"/>
  <c r="F47" i="73"/>
  <c r="I182" i="73"/>
  <c r="G56" i="73"/>
  <c r="I172" i="73"/>
  <c r="F161" i="73"/>
  <c r="G3" i="73"/>
  <c r="H262" i="73"/>
  <c r="E233" i="73"/>
  <c r="G200" i="73"/>
  <c r="F233" i="73"/>
  <c r="H247" i="73"/>
  <c r="H170" i="73"/>
  <c r="I206" i="73"/>
  <c r="G270" i="73"/>
  <c r="E249" i="73"/>
  <c r="E191" i="73"/>
  <c r="G236" i="73"/>
  <c r="E149" i="73"/>
  <c r="I227" i="73"/>
  <c r="G126" i="73"/>
  <c r="I183" i="73"/>
  <c r="H233" i="73"/>
  <c r="I136" i="73"/>
  <c r="G245" i="73"/>
  <c r="H96" i="73"/>
  <c r="F248" i="73"/>
  <c r="E142" i="73"/>
  <c r="I188" i="73"/>
  <c r="I99" i="73"/>
  <c r="F27" i="73"/>
  <c r="E256" i="73"/>
  <c r="F9" i="73"/>
  <c r="I221" i="73"/>
  <c r="F142" i="73"/>
  <c r="G257" i="73"/>
  <c r="F42" i="73"/>
  <c r="G167" i="73"/>
  <c r="F252" i="73"/>
  <c r="G74" i="73"/>
  <c r="G28" i="73"/>
  <c r="G65" i="73"/>
  <c r="G168" i="73"/>
  <c r="I128" i="73"/>
  <c r="G40" i="73"/>
  <c r="E74" i="73"/>
  <c r="G128" i="73"/>
  <c r="H130" i="73"/>
  <c r="E182" i="73"/>
  <c r="E46" i="73"/>
  <c r="H20" i="73"/>
  <c r="E317" i="87"/>
  <c r="F125" i="73"/>
  <c r="H194" i="73"/>
  <c r="I281" i="73"/>
  <c r="F122" i="73"/>
  <c r="I50" i="73"/>
  <c r="G34" i="73"/>
  <c r="I92" i="73"/>
  <c r="E261" i="73"/>
  <c r="G253" i="73"/>
  <c r="H38" i="73"/>
  <c r="H165" i="73"/>
  <c r="G108" i="73"/>
  <c r="H136" i="73"/>
  <c r="E271" i="73"/>
  <c r="H267" i="73"/>
  <c r="G19" i="73"/>
  <c r="E190" i="73"/>
  <c r="I205" i="73"/>
  <c r="G67" i="73"/>
  <c r="E219" i="73"/>
  <c r="G45" i="73"/>
  <c r="E204" i="73"/>
  <c r="I104" i="73"/>
  <c r="F24" i="73"/>
  <c r="E97" i="73"/>
  <c r="H160" i="73"/>
  <c r="G185" i="73"/>
  <c r="I149" i="73"/>
  <c r="I177" i="73"/>
  <c r="E208" i="73"/>
  <c r="E246" i="73"/>
  <c r="E230" i="73"/>
  <c r="H176" i="73"/>
  <c r="F130" i="73"/>
  <c r="E44" i="73"/>
  <c r="I64" i="73"/>
  <c r="F266" i="73"/>
  <c r="I185" i="73"/>
  <c r="H26" i="73"/>
  <c r="F127" i="73"/>
  <c r="G201" i="73"/>
  <c r="I45" i="73"/>
  <c r="G265" i="73"/>
  <c r="E2" i="73"/>
  <c r="I282" i="73"/>
  <c r="I246" i="73"/>
  <c r="H235" i="73"/>
  <c r="F279" i="73"/>
  <c r="H220" i="73"/>
  <c r="F268" i="73"/>
  <c r="H231" i="73"/>
  <c r="I247" i="73"/>
  <c r="I57" i="73"/>
  <c r="H128" i="73"/>
  <c r="G232" i="73"/>
  <c r="G278" i="73"/>
  <c r="H270" i="73"/>
  <c r="G175" i="73"/>
  <c r="F91" i="73"/>
  <c r="H64" i="73"/>
  <c r="H173" i="73"/>
  <c r="E231" i="73"/>
  <c r="G72" i="73"/>
  <c r="I236" i="73"/>
  <c r="E173" i="73"/>
  <c r="G21" i="73"/>
  <c r="F194" i="73"/>
  <c r="I101" i="73"/>
  <c r="G228" i="73"/>
  <c r="H271" i="73"/>
  <c r="G250" i="73"/>
  <c r="E242" i="73"/>
  <c r="F111" i="73"/>
  <c r="E4" i="73"/>
  <c r="H15" i="73"/>
  <c r="E227" i="73"/>
  <c r="I11" i="73"/>
  <c r="I189" i="73"/>
  <c r="F41" i="73"/>
  <c r="E186" i="73"/>
  <c r="H255" i="73"/>
  <c r="F22" i="73"/>
  <c r="I176" i="73"/>
  <c r="H218" i="73"/>
  <c r="F101" i="73"/>
  <c r="E6" i="73"/>
  <c r="I258" i="73"/>
  <c r="E66" i="73"/>
  <c r="I93" i="73"/>
  <c r="G157" i="73"/>
  <c r="G262" i="73"/>
  <c r="E105" i="73"/>
  <c r="I70" i="73"/>
  <c r="H111" i="73"/>
  <c r="E151" i="73"/>
  <c r="E221" i="73"/>
  <c r="G148" i="73"/>
  <c r="E252" i="73"/>
  <c r="I15" i="73"/>
  <c r="E50" i="73"/>
  <c r="G125" i="73"/>
  <c r="E236" i="73"/>
  <c r="I84" i="73"/>
  <c r="I42" i="73"/>
  <c r="H287" i="73"/>
  <c r="E155" i="73"/>
  <c r="G6" i="73"/>
  <c r="E114" i="73"/>
  <c r="I277" i="73"/>
  <c r="E11" i="73"/>
  <c r="F104" i="73"/>
  <c r="I250" i="73"/>
  <c r="H178" i="73"/>
  <c r="H66" i="73"/>
  <c r="I163" i="73"/>
  <c r="H81" i="73"/>
  <c r="F277" i="73"/>
  <c r="I134" i="73"/>
  <c r="I160" i="73"/>
  <c r="I73" i="73"/>
  <c r="I44" i="73"/>
  <c r="I129" i="73"/>
  <c r="I178" i="73"/>
  <c r="G142" i="73"/>
  <c r="E126" i="73"/>
  <c r="E156" i="73"/>
  <c r="F56" i="73"/>
  <c r="I24" i="73"/>
  <c r="E166" i="73"/>
  <c r="E158" i="73"/>
  <c r="F286" i="73"/>
  <c r="F15" i="73"/>
  <c r="E197" i="73"/>
  <c r="E187" i="73"/>
  <c r="I151" i="73"/>
  <c r="H241" i="73"/>
  <c r="F110" i="73"/>
  <c r="H24" i="73"/>
  <c r="E106" i="73"/>
  <c r="E442" i="87"/>
  <c r="F26" i="73"/>
  <c r="G153" i="73"/>
  <c r="E101" i="73"/>
  <c r="F187" i="73"/>
  <c r="E422" i="87"/>
  <c r="F183" i="73"/>
  <c r="H164" i="73"/>
  <c r="H107" i="73"/>
  <c r="F128" i="73"/>
  <c r="F17" i="73"/>
  <c r="I164" i="73"/>
  <c r="E288" i="73"/>
  <c r="H258" i="73"/>
  <c r="E138" i="87"/>
  <c r="I130" i="73"/>
  <c r="G68" i="73"/>
  <c r="H91" i="73"/>
  <c r="E380" i="87"/>
  <c r="E145" i="87"/>
  <c r="F40" i="73"/>
  <c r="I77" i="73"/>
  <c r="E13" i="73"/>
  <c r="H27" i="73"/>
  <c r="F157" i="73"/>
  <c r="G107" i="73"/>
  <c r="I219" i="73"/>
  <c r="F156" i="73"/>
  <c r="E17" i="73"/>
  <c r="E64" i="73"/>
  <c r="H28" i="73"/>
  <c r="F115" i="73"/>
  <c r="E279" i="73"/>
  <c r="G96" i="73"/>
  <c r="G133" i="73"/>
  <c r="H222" i="73"/>
  <c r="I65" i="73"/>
  <c r="I109" i="73"/>
  <c r="G139" i="73"/>
  <c r="E135" i="73"/>
  <c r="H195" i="73"/>
  <c r="F8" i="73"/>
  <c r="G159" i="73"/>
  <c r="G151" i="73"/>
  <c r="G50" i="73"/>
  <c r="I12" i="73"/>
  <c r="G23" i="73"/>
  <c r="G12" i="73"/>
  <c r="G47" i="73"/>
  <c r="E96" i="73"/>
  <c r="H45" i="73"/>
  <c r="E287" i="73"/>
  <c r="E269" i="73"/>
  <c r="F242" i="73"/>
  <c r="H59" i="73"/>
  <c r="G244" i="73"/>
  <c r="I103" i="73"/>
  <c r="E232" i="73"/>
  <c r="E107" i="73"/>
  <c r="H281" i="73"/>
  <c r="H65" i="73"/>
  <c r="G127" i="73"/>
  <c r="F146" i="73"/>
  <c r="F141" i="73"/>
  <c r="E79" i="73"/>
  <c r="G182" i="73"/>
  <c r="E277" i="73"/>
  <c r="I241" i="73"/>
  <c r="E195" i="73"/>
  <c r="F217" i="73"/>
  <c r="G242" i="73"/>
  <c r="G226" i="73"/>
  <c r="H240" i="73"/>
  <c r="G191" i="73"/>
  <c r="H50" i="73"/>
  <c r="F57" i="73"/>
  <c r="I284" i="73"/>
  <c r="E76" i="73"/>
  <c r="I18" i="73"/>
  <c r="I140" i="73"/>
  <c r="E185" i="73"/>
  <c r="E141" i="73"/>
  <c r="I43" i="73"/>
  <c r="G282" i="73"/>
  <c r="E123" i="73"/>
  <c r="F108" i="73"/>
  <c r="E282" i="73"/>
  <c r="E36" i="73"/>
  <c r="E170" i="73"/>
  <c r="E27" i="73"/>
  <c r="F152" i="73"/>
  <c r="H120" i="73"/>
  <c r="E302" i="87"/>
  <c r="G117" i="73"/>
  <c r="H149" i="73"/>
  <c r="H237" i="73"/>
  <c r="G22" i="73"/>
  <c r="E18" i="73"/>
  <c r="H279" i="73"/>
  <c r="E83" i="73"/>
  <c r="I80" i="73"/>
  <c r="F139" i="73"/>
  <c r="G221" i="73"/>
  <c r="F188" i="73"/>
  <c r="F45" i="73"/>
  <c r="I190" i="73"/>
  <c r="H187" i="73"/>
  <c r="H99" i="73"/>
  <c r="H272" i="73"/>
  <c r="H277" i="73"/>
  <c r="G217" i="73"/>
  <c r="H80" i="73"/>
  <c r="G100" i="73"/>
  <c r="E165" i="73"/>
  <c r="E245" i="73"/>
  <c r="F112" i="73"/>
  <c r="H9" i="73"/>
  <c r="G79" i="73"/>
  <c r="G230" i="73"/>
  <c r="I118" i="73"/>
  <c r="E284" i="73"/>
  <c r="I49" i="73"/>
  <c r="F221" i="73"/>
  <c r="G84" i="73"/>
  <c r="G20" i="73"/>
  <c r="E146" i="73"/>
  <c r="H135" i="73"/>
  <c r="I170" i="73"/>
  <c r="I239" i="73"/>
  <c r="G195" i="73"/>
  <c r="E557" i="87"/>
  <c r="E247" i="73"/>
  <c r="G218" i="73"/>
  <c r="I127" i="73"/>
  <c r="H190" i="73"/>
  <c r="I238" i="73"/>
  <c r="E219" i="87"/>
  <c r="G284" i="73"/>
  <c r="H159" i="73"/>
  <c r="H182" i="73"/>
  <c r="F246" i="73"/>
  <c r="G286" i="73"/>
  <c r="E139" i="73"/>
  <c r="G199" i="73"/>
  <c r="E127" i="73"/>
  <c r="F70" i="73"/>
  <c r="I86" i="73"/>
  <c r="F44" i="73"/>
  <c r="G44" i="73"/>
  <c r="H113" i="73"/>
  <c r="I276" i="73"/>
  <c r="F197" i="73"/>
  <c r="I100" i="73"/>
  <c r="I21" i="73"/>
  <c r="H156" i="73"/>
  <c r="F3" i="73"/>
  <c r="E477" i="87"/>
  <c r="F193" i="73"/>
  <c r="I68" i="73"/>
  <c r="F231" i="73"/>
  <c r="H104" i="73"/>
  <c r="I83" i="73"/>
  <c r="F174" i="73"/>
  <c r="F123" i="73"/>
  <c r="I97" i="73"/>
  <c r="F206" i="73"/>
  <c r="F263" i="73"/>
  <c r="H234" i="73"/>
  <c r="H8" i="73"/>
  <c r="E104" i="73"/>
  <c r="E89" i="73"/>
  <c r="G237" i="73"/>
  <c r="E81" i="73"/>
  <c r="H226" i="73"/>
  <c r="E179" i="73"/>
  <c r="I39" i="73"/>
  <c r="F36" i="73"/>
  <c r="I78" i="73"/>
  <c r="G238" i="73"/>
  <c r="G246" i="73"/>
  <c r="F117" i="73"/>
  <c r="E180" i="73"/>
  <c r="H73" i="73"/>
  <c r="F256" i="73"/>
  <c r="E201" i="73"/>
  <c r="F50" i="73"/>
  <c r="H249" i="73"/>
  <c r="E140" i="73"/>
  <c r="I193" i="73"/>
  <c r="F261" i="73"/>
  <c r="E172" i="73"/>
  <c r="F224" i="73"/>
  <c r="H205" i="73"/>
  <c r="H273" i="73"/>
  <c r="F232" i="73"/>
  <c r="F129" i="73"/>
  <c r="E240" i="73"/>
  <c r="I264" i="73"/>
  <c r="F168" i="73"/>
  <c r="I20" i="73"/>
  <c r="E262" i="73"/>
  <c r="H171" i="73"/>
  <c r="E42" i="73"/>
  <c r="H153" i="73"/>
  <c r="I146" i="73"/>
  <c r="I267" i="73"/>
  <c r="F77" i="73"/>
  <c r="H82" i="73"/>
  <c r="E264" i="73"/>
  <c r="F220" i="73"/>
  <c r="I16" i="73"/>
  <c r="I245" i="73"/>
  <c r="I272" i="73"/>
  <c r="F119" i="73"/>
  <c r="I168" i="73"/>
  <c r="H58" i="73"/>
  <c r="E251" i="73"/>
  <c r="G58" i="73"/>
  <c r="F205" i="73"/>
  <c r="I200" i="73"/>
  <c r="I112" i="73"/>
  <c r="E59" i="73"/>
  <c r="G273" i="73"/>
  <c r="G115" i="73"/>
  <c r="E75" i="73"/>
  <c r="G163" i="73"/>
  <c r="E275" i="73"/>
  <c r="F113" i="73"/>
  <c r="I235" i="73"/>
  <c r="F20" i="73"/>
  <c r="F239" i="73"/>
  <c r="I148" i="73"/>
  <c r="E196" i="73"/>
  <c r="E88" i="73"/>
  <c r="G77" i="73"/>
  <c r="I173" i="73"/>
  <c r="I85" i="73"/>
  <c r="F271" i="73"/>
  <c r="H29" i="73"/>
  <c r="F160" i="73"/>
  <c r="E133" i="73"/>
  <c r="G57" i="73"/>
  <c r="E481" i="87"/>
  <c r="I202" i="73"/>
  <c r="F241" i="73"/>
  <c r="I263" i="73"/>
  <c r="G281" i="73"/>
  <c r="G83" i="73"/>
  <c r="E163" i="73"/>
  <c r="H56" i="73"/>
  <c r="F71" i="73"/>
  <c r="H16" i="73"/>
  <c r="G39" i="73"/>
  <c r="E113" i="87"/>
  <c r="E92" i="73"/>
  <c r="I41" i="73"/>
  <c r="E243" i="87"/>
  <c r="F170" i="73"/>
  <c r="G174" i="73"/>
  <c r="E145" i="73"/>
  <c r="G267" i="73"/>
  <c r="F258" i="73"/>
  <c r="E160" i="73"/>
  <c r="E161" i="73"/>
  <c r="F43" i="73"/>
  <c r="G279" i="73"/>
  <c r="H10" i="73"/>
  <c r="E207" i="73"/>
  <c r="E601" i="87"/>
  <c r="F5" i="73"/>
  <c r="H175" i="73"/>
  <c r="F218" i="73"/>
  <c r="G36" i="73"/>
  <c r="I195" i="73"/>
  <c r="F171" i="73"/>
  <c r="H256" i="73"/>
  <c r="H19" i="73"/>
  <c r="E178" i="73"/>
  <c r="F136" i="73"/>
  <c r="H41" i="73"/>
  <c r="H246" i="73"/>
  <c r="E137" i="73"/>
  <c r="I242" i="73"/>
  <c r="G208" i="73"/>
  <c r="E216" i="73"/>
  <c r="H60" i="73"/>
  <c r="F18" i="73"/>
  <c r="H188" i="73"/>
  <c r="F96" i="73"/>
  <c r="F97" i="73"/>
  <c r="F225" i="73"/>
  <c r="G141" i="73"/>
  <c r="F23" i="73"/>
  <c r="F6" i="73"/>
  <c r="E159" i="73"/>
  <c r="I25" i="73"/>
  <c r="F180" i="73"/>
  <c r="E37" i="73"/>
  <c r="H70" i="73"/>
  <c r="G260" i="73"/>
  <c r="F10" i="73"/>
  <c r="E157" i="73"/>
  <c r="H7" i="73"/>
  <c r="I286" i="73"/>
  <c r="G4" i="73"/>
  <c r="F227" i="73"/>
  <c r="E144" i="73"/>
  <c r="F196" i="73"/>
  <c r="G144" i="73"/>
  <c r="I59" i="73"/>
  <c r="H257" i="73"/>
  <c r="H118" i="73"/>
  <c r="G110" i="73"/>
  <c r="I196" i="73"/>
  <c r="I51" i="73"/>
  <c r="E130" i="73"/>
  <c r="E20" i="73"/>
  <c r="H283" i="73"/>
  <c r="G29" i="73"/>
  <c r="H105" i="73"/>
  <c r="G263" i="73"/>
  <c r="G35" i="73"/>
  <c r="E7" i="73"/>
  <c r="E181" i="73"/>
  <c r="F66" i="73"/>
  <c r="E110" i="73"/>
  <c r="F155" i="73"/>
  <c r="E152" i="73"/>
  <c r="H174" i="73"/>
  <c r="F4" i="73"/>
  <c r="G205" i="73"/>
  <c r="I60" i="73"/>
  <c r="E254" i="73"/>
  <c r="H115" i="73"/>
  <c r="H177" i="73"/>
  <c r="H35" i="73"/>
  <c r="E129" i="73"/>
  <c r="H144" i="73"/>
  <c r="I91" i="73"/>
  <c r="F240" i="73"/>
  <c r="H79" i="73"/>
  <c r="G135" i="73"/>
  <c r="E231" i="87"/>
  <c r="E82" i="73"/>
  <c r="F154" i="73"/>
  <c r="F88" i="73"/>
  <c r="H33" i="73"/>
  <c r="E60" i="73"/>
  <c r="E305" i="87"/>
  <c r="G274" i="73"/>
  <c r="E71" i="73"/>
  <c r="G261" i="73"/>
  <c r="G103" i="73"/>
  <c r="I35" i="73"/>
  <c r="E14" i="73"/>
  <c r="G33" i="73"/>
  <c r="G51" i="73"/>
  <c r="I161" i="73"/>
  <c r="H209" i="73"/>
  <c r="I90" i="73"/>
  <c r="E199" i="73"/>
  <c r="E257" i="73"/>
  <c r="I260" i="73"/>
  <c r="F270" i="73"/>
  <c r="E113" i="73"/>
  <c r="H44" i="73"/>
  <c r="G287" i="73"/>
  <c r="H221" i="73"/>
  <c r="G73" i="73"/>
  <c r="E267" i="73"/>
  <c r="E285" i="73"/>
  <c r="G172" i="73"/>
  <c r="H208" i="73"/>
  <c r="I269" i="73"/>
  <c r="I5" i="73"/>
  <c r="F103" i="73"/>
  <c r="I180" i="73"/>
  <c r="G76" i="73"/>
  <c r="H207" i="73"/>
  <c r="G235" i="73"/>
  <c r="G269" i="73"/>
  <c r="G78" i="73"/>
  <c r="G264" i="73"/>
  <c r="I66" i="73"/>
  <c r="H3" i="73"/>
  <c r="G18" i="73"/>
  <c r="I87" i="73"/>
  <c r="F65" i="73"/>
  <c r="H134" i="73"/>
  <c r="H238" i="73"/>
  <c r="I218" i="73"/>
  <c r="F282" i="73"/>
  <c r="E72" i="73"/>
  <c r="I261" i="73"/>
  <c r="I81" i="73"/>
  <c r="H266" i="73"/>
  <c r="G222" i="73"/>
  <c r="E143" i="73"/>
  <c r="H46" i="73"/>
  <c r="F21" i="73"/>
  <c r="I9" i="73"/>
  <c r="E205" i="73"/>
  <c r="H90" i="73"/>
  <c r="I19" i="73"/>
  <c r="I162" i="73"/>
  <c r="E164" i="73"/>
  <c r="I279" i="73"/>
  <c r="H264" i="73"/>
  <c r="G8" i="73"/>
  <c r="E229" i="87"/>
  <c r="E272" i="87"/>
  <c r="H101" i="73"/>
  <c r="H14" i="73"/>
  <c r="H122" i="73"/>
  <c r="E598" i="87"/>
  <c r="H36" i="73"/>
  <c r="H288" i="73"/>
  <c r="H108" i="73"/>
  <c r="G64" i="73"/>
  <c r="G138" i="73"/>
  <c r="F245" i="73"/>
  <c r="G254" i="73"/>
  <c r="F284" i="73"/>
  <c r="E248" i="73"/>
  <c r="I62" i="73"/>
  <c r="G95" i="73"/>
  <c r="G120" i="73"/>
  <c r="I72" i="73"/>
  <c r="G225" i="73"/>
  <c r="E90" i="73"/>
  <c r="G109" i="73"/>
  <c r="H157" i="73"/>
  <c r="I26" i="73"/>
  <c r="I113" i="73"/>
  <c r="E80" i="73"/>
  <c r="G184" i="73"/>
  <c r="I233" i="73"/>
  <c r="I224" i="73"/>
  <c r="E174" i="73"/>
  <c r="G283" i="73"/>
  <c r="F46" i="73"/>
  <c r="I222" i="73"/>
  <c r="I110" i="73"/>
  <c r="G13" i="73"/>
  <c r="H84" i="73"/>
  <c r="I46" i="73"/>
  <c r="I133" i="73"/>
  <c r="G16" i="73"/>
  <c r="I4" i="73"/>
  <c r="F48" i="73"/>
  <c r="I14" i="73"/>
  <c r="G101" i="73"/>
  <c r="H100" i="73"/>
  <c r="G41" i="73"/>
  <c r="F78" i="73"/>
  <c r="F244" i="73"/>
  <c r="E38" i="73"/>
  <c r="I22" i="73"/>
  <c r="F98" i="73"/>
  <c r="G60" i="73"/>
  <c r="H230" i="73"/>
  <c r="I157" i="73"/>
  <c r="I197" i="73"/>
  <c r="G239" i="73"/>
  <c r="E152" i="87"/>
  <c r="G113" i="73"/>
  <c r="H172" i="73"/>
  <c r="I166" i="73"/>
  <c r="H87" i="73"/>
  <c r="I268" i="73"/>
  <c r="E3" i="87"/>
  <c r="F134" i="73"/>
  <c r="H129" i="73"/>
  <c r="I139" i="73"/>
  <c r="H98" i="73"/>
  <c r="I230" i="73"/>
  <c r="H242" i="73"/>
  <c r="H265" i="73"/>
  <c r="I28" i="73"/>
  <c r="F172" i="73"/>
  <c r="I120" i="73"/>
  <c r="I38" i="73"/>
  <c r="I48" i="73"/>
  <c r="E102" i="73"/>
  <c r="I270" i="73"/>
  <c r="E260" i="73"/>
  <c r="E194" i="73"/>
  <c r="E241" i="73"/>
  <c r="I255" i="73"/>
  <c r="F95" i="73"/>
  <c r="E265" i="73"/>
  <c r="G241" i="73"/>
  <c r="G240" i="73"/>
  <c r="H155" i="73"/>
  <c r="E87" i="73"/>
  <c r="H284" i="73"/>
  <c r="H168" i="73"/>
  <c r="E48" i="73"/>
  <c r="G271" i="73"/>
  <c r="F276" i="73"/>
  <c r="H196" i="73"/>
  <c r="I158" i="73"/>
  <c r="I217" i="73"/>
  <c r="I201" i="73"/>
  <c r="H68" i="73"/>
  <c r="E117" i="73"/>
  <c r="E386" i="87"/>
  <c r="E276" i="73"/>
  <c r="E482" i="87"/>
  <c r="E394" i="87"/>
  <c r="F198" i="73"/>
  <c r="G15" i="73"/>
  <c r="H97" i="73"/>
  <c r="F191" i="73"/>
  <c r="E10" i="73"/>
  <c r="H34" i="73"/>
  <c r="E162" i="73"/>
  <c r="H78" i="73"/>
  <c r="G162" i="73"/>
  <c r="E449" i="87"/>
  <c r="F49" i="73"/>
  <c r="E170" i="87"/>
  <c r="F153" i="73"/>
  <c r="E223" i="87"/>
  <c r="F35" i="73"/>
  <c r="F165" i="73"/>
  <c r="I17" i="73"/>
  <c r="I82" i="73"/>
  <c r="E450" i="87"/>
  <c r="E183" i="73"/>
  <c r="G92" i="73"/>
  <c r="F238" i="73"/>
  <c r="F99" i="73"/>
  <c r="F264" i="73"/>
  <c r="G132" i="73"/>
  <c r="G87" i="73"/>
  <c r="H43" i="73"/>
  <c r="E193" i="73"/>
  <c r="H158" i="73"/>
  <c r="E270" i="73"/>
  <c r="I23" i="73"/>
  <c r="G248" i="73"/>
  <c r="G177" i="73"/>
  <c r="H133" i="73"/>
  <c r="G180" i="73"/>
  <c r="E43" i="73"/>
  <c r="E120" i="73"/>
  <c r="F87" i="73"/>
  <c r="F167" i="73"/>
  <c r="I265" i="73"/>
  <c r="I278" i="73"/>
  <c r="I27" i="73"/>
  <c r="I47" i="73"/>
  <c r="I107" i="73"/>
  <c r="I271" i="73"/>
  <c r="H278" i="73"/>
  <c r="I88" i="73"/>
  <c r="E351" i="87"/>
  <c r="F38" i="73"/>
  <c r="G82" i="73"/>
  <c r="H225" i="73"/>
  <c r="F83" i="73"/>
  <c r="E444" i="87"/>
  <c r="H189" i="73"/>
  <c r="E175" i="73"/>
  <c r="H21" i="73"/>
  <c r="E25" i="87"/>
  <c r="G164" i="73"/>
  <c r="E124" i="73"/>
  <c r="G62" i="73"/>
  <c r="F11" i="73"/>
  <c r="E381" i="87"/>
  <c r="F228" i="73"/>
  <c r="G224" i="73"/>
  <c r="I56" i="73"/>
  <c r="G105" i="73"/>
  <c r="E255" i="73"/>
  <c r="H23" i="73"/>
  <c r="G268" i="73"/>
  <c r="F265" i="73"/>
  <c r="H239" i="73"/>
  <c r="F29" i="73"/>
  <c r="F207" i="73"/>
  <c r="E132" i="73"/>
  <c r="G66" i="73"/>
  <c r="F208" i="73"/>
  <c r="E86" i="73"/>
  <c r="E225" i="73"/>
  <c r="H110" i="73"/>
  <c r="H142" i="73"/>
  <c r="H109" i="73"/>
  <c r="G140" i="73"/>
  <c r="E569" i="87"/>
  <c r="G158" i="73"/>
  <c r="F58" i="73"/>
  <c r="E263" i="73"/>
  <c r="F109" i="73"/>
  <c r="H77" i="73"/>
  <c r="I288" i="73"/>
  <c r="H193" i="73"/>
  <c r="E32" i="87"/>
  <c r="I105" i="73"/>
  <c r="E13" i="87"/>
  <c r="E108" i="87"/>
  <c r="H146" i="73"/>
  <c r="E12" i="73"/>
  <c r="E82" i="87"/>
  <c r="E189" i="73"/>
  <c r="F105" i="73"/>
  <c r="E177" i="87"/>
  <c r="F135" i="73"/>
  <c r="I74" i="73"/>
  <c r="I234" i="73"/>
  <c r="F235" i="73"/>
  <c r="I165" i="73"/>
  <c r="F73" i="73"/>
  <c r="H47" i="73"/>
  <c r="I3" i="73"/>
  <c r="E39" i="73"/>
  <c r="E138" i="73"/>
  <c r="G209" i="73"/>
  <c r="H126" i="73"/>
  <c r="I283" i="73"/>
  <c r="H184" i="73"/>
  <c r="E427" i="87"/>
  <c r="G154" i="73"/>
  <c r="F229" i="73"/>
  <c r="H140" i="73"/>
  <c r="G9" i="73"/>
  <c r="F106" i="73"/>
  <c r="E122" i="73"/>
  <c r="G266" i="73"/>
  <c r="F219" i="73"/>
  <c r="H49" i="73"/>
  <c r="E60" i="87"/>
  <c r="G193" i="73"/>
  <c r="E240" i="87"/>
  <c r="F84" i="73"/>
  <c r="E150" i="87"/>
  <c r="G247" i="73"/>
  <c r="H199" i="73"/>
  <c r="F226" i="73"/>
  <c r="E218" i="87"/>
  <c r="F39" i="73"/>
  <c r="E499" i="87"/>
  <c r="I191" i="73"/>
  <c r="I152" i="73"/>
  <c r="G123" i="73"/>
  <c r="E260" i="87"/>
  <c r="E493" i="87"/>
  <c r="F209" i="73"/>
  <c r="E95" i="73"/>
  <c r="G234" i="73"/>
  <c r="E421" i="87"/>
  <c r="F19" i="73"/>
  <c r="F159" i="73"/>
  <c r="I248" i="73"/>
  <c r="H203" i="73"/>
  <c r="H276" i="73"/>
  <c r="G288" i="73"/>
  <c r="H261" i="73"/>
  <c r="F60" i="73"/>
  <c r="H13" i="73"/>
  <c r="I229" i="73"/>
  <c r="I34" i="73"/>
  <c r="F68" i="73"/>
  <c r="H232" i="73"/>
  <c r="E243" i="73"/>
  <c r="E100" i="73"/>
  <c r="H185" i="73"/>
  <c r="G81" i="73"/>
  <c r="I226" i="73"/>
  <c r="F257" i="73"/>
  <c r="F204" i="73"/>
  <c r="E115" i="73"/>
  <c r="H85" i="73"/>
  <c r="F189" i="73"/>
  <c r="E19" i="73"/>
  <c r="H17" i="73"/>
  <c r="E91" i="73"/>
  <c r="G70" i="73"/>
  <c r="I76" i="73"/>
  <c r="F201" i="73"/>
  <c r="G285" i="73"/>
  <c r="I204" i="73"/>
  <c r="H138" i="73"/>
  <c r="H263" i="73"/>
  <c r="F288" i="73"/>
  <c r="F92" i="73"/>
  <c r="E480" i="87"/>
  <c r="F93" i="73"/>
  <c r="E220" i="73"/>
  <c r="F86" i="73"/>
  <c r="E65" i="73"/>
  <c r="G104" i="73"/>
  <c r="I237" i="73"/>
  <c r="H5" i="73"/>
  <c r="F16" i="73"/>
  <c r="I135" i="73"/>
  <c r="E413" i="87"/>
  <c r="E61" i="73"/>
  <c r="E24" i="73"/>
  <c r="H57" i="73"/>
  <c r="H6" i="73"/>
  <c r="E22" i="73"/>
  <c r="F90" i="73"/>
  <c r="I194" i="73"/>
  <c r="G178" i="73"/>
  <c r="E258" i="73"/>
  <c r="H71" i="73"/>
  <c r="I79" i="73"/>
  <c r="F62" i="73"/>
  <c r="F64" i="73"/>
  <c r="H200" i="73"/>
  <c r="F247" i="73"/>
  <c r="H183" i="73"/>
  <c r="G99" i="73"/>
  <c r="G27" i="73"/>
  <c r="E116" i="73"/>
  <c r="H250" i="73"/>
  <c r="G116" i="73"/>
  <c r="G203" i="73"/>
  <c r="I273" i="73"/>
  <c r="I208" i="73"/>
  <c r="F76" i="73"/>
  <c r="I125" i="73"/>
  <c r="G161" i="73"/>
  <c r="E203" i="73"/>
  <c r="F177" i="73"/>
  <c r="E29" i="73"/>
  <c r="E534" i="87"/>
  <c r="H161" i="73"/>
  <c r="E45" i="73"/>
  <c r="I106" i="73"/>
  <c r="E226" i="73"/>
  <c r="E84" i="73"/>
  <c r="E128" i="73"/>
  <c r="F267" i="73"/>
  <c r="H139" i="73"/>
  <c r="G42" i="73"/>
  <c r="H141" i="73"/>
  <c r="E251" i="87"/>
  <c r="E210" i="73"/>
  <c r="E58" i="73"/>
  <c r="F100" i="73"/>
  <c r="G258" i="73"/>
  <c r="E33" i="73"/>
  <c r="E63" i="73"/>
  <c r="F144" i="73"/>
  <c r="F82" i="73"/>
  <c r="I40" i="73"/>
  <c r="F59" i="73"/>
  <c r="F273" i="73"/>
  <c r="G202" i="73"/>
  <c r="F138" i="73"/>
  <c r="I244" i="73"/>
  <c r="F234" i="73"/>
  <c r="H152" i="73"/>
  <c r="E515" i="87"/>
  <c r="E57" i="73"/>
  <c r="G272" i="73"/>
  <c r="H88" i="73"/>
  <c r="E523" i="87"/>
  <c r="G106" i="73"/>
  <c r="E246" i="87"/>
  <c r="E432" i="87"/>
  <c r="G86" i="73"/>
  <c r="G170" i="73"/>
  <c r="E522" i="87"/>
  <c r="I175" i="73"/>
  <c r="E109" i="73"/>
  <c r="E359" i="87"/>
  <c r="E40" i="73"/>
  <c r="G49" i="73"/>
  <c r="H167" i="73"/>
  <c r="E340" i="87"/>
  <c r="E222" i="73"/>
  <c r="E286" i="73"/>
  <c r="F74" i="73"/>
  <c r="E32" i="73"/>
  <c r="H252" i="73"/>
  <c r="E80" i="87"/>
  <c r="G17" i="73"/>
  <c r="F79" i="73"/>
  <c r="E459" i="87"/>
  <c r="G255" i="73"/>
  <c r="I122" i="73"/>
  <c r="H116" i="73"/>
  <c r="H22" i="73"/>
  <c r="E119" i="73"/>
  <c r="H268" i="73"/>
  <c r="E192" i="73"/>
  <c r="I225" i="73"/>
  <c r="G277" i="73"/>
  <c r="E77" i="73"/>
  <c r="G187" i="73"/>
  <c r="E273" i="73"/>
  <c r="F190" i="73"/>
  <c r="G136" i="73"/>
  <c r="E406" i="87"/>
  <c r="E28" i="73"/>
  <c r="F272" i="73"/>
  <c r="G85" i="73"/>
  <c r="G160" i="73"/>
  <c r="E244" i="73"/>
  <c r="E580" i="87"/>
  <c r="E109" i="87"/>
  <c r="H132" i="73"/>
  <c r="E250" i="73"/>
  <c r="F34" i="73"/>
  <c r="H163" i="73"/>
  <c r="H62" i="73"/>
  <c r="E440" i="87"/>
  <c r="E498" i="87"/>
  <c r="E46" i="87"/>
  <c r="E134" i="73"/>
  <c r="E25" i="73"/>
  <c r="E194" i="87"/>
  <c r="G206" i="73"/>
  <c r="E95" i="87"/>
  <c r="G155" i="73"/>
  <c r="E223" i="73"/>
  <c r="G48" i="73"/>
  <c r="F25" i="73"/>
  <c r="H86" i="73"/>
  <c r="I167" i="73"/>
  <c r="I232" i="73"/>
  <c r="G197" i="73"/>
  <c r="E78" i="73"/>
  <c r="H103" i="73"/>
  <c r="I141" i="73"/>
  <c r="H127" i="73"/>
  <c r="E41" i="73"/>
  <c r="F14" i="73"/>
  <c r="E147" i="73"/>
  <c r="G171" i="73"/>
  <c r="E280" i="73"/>
  <c r="H204" i="73"/>
  <c r="E200" i="73"/>
  <c r="F132" i="73"/>
  <c r="F285" i="73"/>
  <c r="I67" i="73"/>
  <c r="E15" i="73"/>
  <c r="E268" i="73"/>
  <c r="H253" i="73"/>
  <c r="E99" i="73"/>
  <c r="E176" i="73"/>
  <c r="E35" i="73"/>
  <c r="G25" i="73"/>
  <c r="E218" i="73"/>
  <c r="I132" i="73"/>
  <c r="I184" i="73"/>
  <c r="G97" i="73"/>
  <c r="E148" i="73"/>
  <c r="I7" i="73"/>
  <c r="E21" i="73"/>
  <c r="E425" i="87"/>
  <c r="F185" i="73"/>
  <c r="I171" i="73"/>
  <c r="E21" i="87"/>
  <c r="F164" i="73"/>
  <c r="I36" i="73"/>
  <c r="E62" i="73"/>
  <c r="E89" i="87"/>
  <c r="E177" i="73"/>
  <c r="E552" i="87"/>
  <c r="H151" i="73"/>
  <c r="E94" i="73"/>
  <c r="G122" i="73"/>
  <c r="H95" i="73"/>
  <c r="G59" i="73"/>
  <c r="E8" i="87"/>
  <c r="E242" i="87"/>
  <c r="F162" i="73"/>
  <c r="I256" i="73"/>
  <c r="I98" i="73"/>
  <c r="E587" i="87"/>
  <c r="H48" i="73"/>
  <c r="E81" i="87"/>
  <c r="H63" i="73"/>
  <c r="H123" i="73"/>
  <c r="G118" i="73"/>
  <c r="F274" i="73"/>
  <c r="G63" i="73"/>
  <c r="E267" i="87"/>
  <c r="E368" i="87"/>
  <c r="E318" i="87"/>
  <c r="E268" i="87"/>
  <c r="E110" i="87"/>
  <c r="E259" i="73"/>
  <c r="H269" i="73"/>
  <c r="E295" i="87"/>
  <c r="G91" i="73"/>
  <c r="G227" i="73"/>
  <c r="E65" i="87"/>
  <c r="E336" i="87"/>
  <c r="E27" i="87"/>
  <c r="E11" i="87"/>
  <c r="E211" i="87"/>
  <c r="I126" i="73"/>
  <c r="E15" i="87"/>
  <c r="E491" i="87"/>
  <c r="H166" i="73"/>
  <c r="E239" i="73"/>
  <c r="H285" i="73"/>
  <c r="E374" i="87"/>
  <c r="E55" i="73"/>
  <c r="F81" i="73"/>
  <c r="E511" i="87"/>
  <c r="E12" i="87"/>
  <c r="E119" i="87"/>
  <c r="E396" i="87"/>
  <c r="E367" i="87"/>
  <c r="E457" i="87"/>
  <c r="E418" i="87"/>
  <c r="E475" i="87"/>
  <c r="E303" i="87"/>
  <c r="E206" i="73"/>
  <c r="E337" i="87"/>
  <c r="E22" i="87"/>
  <c r="I266" i="73"/>
  <c r="E66" i="87"/>
  <c r="E412" i="87"/>
  <c r="E196" i="87"/>
  <c r="E488" i="87"/>
  <c r="H227" i="73"/>
  <c r="E212" i="87"/>
  <c r="I252" i="73"/>
  <c r="F166" i="73"/>
  <c r="H244" i="73"/>
  <c r="E471" i="87"/>
  <c r="G88" i="73"/>
  <c r="E67" i="87"/>
  <c r="E271" i="87"/>
  <c r="E312" i="87"/>
  <c r="E79" i="87"/>
  <c r="H254" i="73"/>
  <c r="E465" i="87"/>
  <c r="G7" i="73"/>
  <c r="G219" i="73"/>
  <c r="F107" i="73"/>
  <c r="E111" i="73"/>
  <c r="E69" i="87"/>
  <c r="E234" i="73"/>
  <c r="E436" i="87"/>
  <c r="I203" i="73"/>
  <c r="I253" i="73"/>
  <c r="E184" i="87"/>
  <c r="E401" i="87"/>
  <c r="E68" i="73"/>
  <c r="E410" i="87"/>
  <c r="E592" i="87"/>
  <c r="H224" i="73"/>
  <c r="E73" i="73"/>
  <c r="E463" i="87"/>
  <c r="G112" i="73"/>
  <c r="H106" i="73"/>
  <c r="E241" i="87"/>
  <c r="E235" i="73"/>
  <c r="G129" i="73"/>
  <c r="I119" i="73"/>
  <c r="G149" i="73"/>
  <c r="E55" i="87"/>
  <c r="E112" i="73"/>
  <c r="E283" i="73"/>
  <c r="E309" i="87"/>
  <c r="E227" i="87"/>
  <c r="E85" i="73"/>
  <c r="E354" i="87"/>
  <c r="E328" i="87"/>
  <c r="E148" i="87"/>
  <c r="E39" i="87"/>
  <c r="G119" i="73"/>
  <c r="F237" i="73"/>
  <c r="H282" i="73"/>
  <c r="E143" i="87"/>
  <c r="E56" i="73"/>
  <c r="E581" i="87"/>
  <c r="E443" i="87"/>
  <c r="E320" i="87"/>
  <c r="E326" i="87"/>
  <c r="E220" i="87"/>
  <c r="E315" i="87"/>
  <c r="H25" i="73"/>
  <c r="E549" i="87"/>
  <c r="E202" i="73"/>
  <c r="H39" i="73"/>
  <c r="H40" i="73"/>
  <c r="F254" i="73"/>
  <c r="E191" i="87"/>
  <c r="E206" i="87"/>
  <c r="E106" i="87"/>
  <c r="E349" i="87"/>
  <c r="H67" i="73"/>
  <c r="G176" i="73"/>
  <c r="I123" i="73"/>
  <c r="E103" i="73"/>
  <c r="F249" i="73"/>
  <c r="F269" i="73"/>
  <c r="G26" i="73"/>
  <c r="G46" i="73"/>
  <c r="E50" i="87"/>
  <c r="H217" i="73"/>
  <c r="E154" i="73"/>
  <c r="H18" i="73"/>
  <c r="I115" i="73"/>
  <c r="H228" i="73"/>
  <c r="F133" i="73"/>
  <c r="E3" i="73"/>
  <c r="E249" i="87"/>
  <c r="E179" i="87"/>
  <c r="E529" i="87"/>
  <c r="E470" i="87"/>
  <c r="E519" i="87"/>
  <c r="E550" i="87"/>
  <c r="E276" i="87"/>
  <c r="F260" i="73"/>
  <c r="E198" i="73"/>
  <c r="E554" i="87"/>
  <c r="F118" i="73"/>
  <c r="E395" i="87"/>
  <c r="E514" i="87"/>
  <c r="E61" i="87"/>
  <c r="E10" i="87"/>
  <c r="E577" i="87"/>
  <c r="E115" i="87"/>
  <c r="E23" i="87"/>
  <c r="E541" i="87"/>
  <c r="E14" i="87"/>
  <c r="G252" i="73"/>
  <c r="G207" i="73"/>
  <c r="E257" i="87"/>
  <c r="F33" i="73"/>
  <c r="I138" i="73"/>
  <c r="F80" i="73"/>
  <c r="E205" i="87"/>
  <c r="E496" i="87"/>
  <c r="E91" i="87"/>
  <c r="E238" i="87"/>
  <c r="E45" i="87"/>
  <c r="E585" i="87"/>
  <c r="E52" i="87"/>
  <c r="E405" i="87"/>
  <c r="F203" i="73"/>
  <c r="E167" i="73"/>
  <c r="F255" i="73"/>
  <c r="E346" i="87"/>
  <c r="E311" i="87"/>
  <c r="E87" i="87"/>
  <c r="E126" i="87"/>
  <c r="H229" i="73"/>
  <c r="E104" i="87"/>
  <c r="I29" i="73"/>
  <c r="I228" i="73"/>
  <c r="H92" i="73"/>
  <c r="E293" i="87"/>
  <c r="G204" i="73"/>
  <c r="E134" i="87"/>
  <c r="E364" i="87"/>
  <c r="E120" i="87"/>
  <c r="F7" i="73"/>
  <c r="I187" i="73"/>
  <c r="E175" i="87"/>
  <c r="E142" i="87"/>
  <c r="E281" i="87"/>
  <c r="E428" i="87"/>
  <c r="G166" i="73"/>
  <c r="I154" i="73"/>
  <c r="H202" i="73"/>
  <c r="H219" i="73"/>
  <c r="I262" i="73"/>
  <c r="E195" i="87"/>
  <c r="E543" i="87"/>
  <c r="E284" i="87"/>
  <c r="E270" i="87"/>
  <c r="E252" i="87"/>
  <c r="E131" i="87"/>
  <c r="E116" i="87"/>
  <c r="E224" i="87"/>
  <c r="F236" i="73"/>
  <c r="E272" i="73"/>
  <c r="F85" i="73"/>
  <c r="I63" i="73"/>
  <c r="H4" i="73"/>
  <c r="E447" i="87"/>
  <c r="E92" i="87"/>
  <c r="G189" i="73"/>
  <c r="G10" i="73"/>
  <c r="I6" i="73"/>
  <c r="F163" i="73"/>
  <c r="G233" i="73"/>
  <c r="F63" i="73"/>
  <c r="I287" i="73"/>
  <c r="E245" i="87"/>
  <c r="E2" i="87"/>
  <c r="E103" i="87"/>
  <c r="E28" i="87"/>
  <c r="E248" i="87"/>
  <c r="E234" i="87"/>
  <c r="G11" i="73"/>
  <c r="E185" i="87"/>
  <c r="E70" i="73"/>
  <c r="G111" i="73"/>
  <c r="E183" i="87"/>
  <c r="E479" i="87"/>
  <c r="E299" i="87"/>
  <c r="E424" i="87"/>
  <c r="E398" i="87"/>
  <c r="E225" i="87"/>
  <c r="E188" i="73"/>
  <c r="F12" i="73"/>
  <c r="I33" i="73"/>
  <c r="E253" i="73"/>
  <c r="I274" i="73"/>
  <c r="E403" i="87"/>
  <c r="E26" i="87"/>
  <c r="E298" i="87"/>
  <c r="G93" i="73"/>
  <c r="E409" i="87"/>
  <c r="E546" i="87"/>
  <c r="E596" i="87"/>
  <c r="E64" i="87"/>
  <c r="E189" i="87"/>
  <c r="E35" i="87"/>
  <c r="E217" i="73"/>
  <c r="I249" i="73"/>
  <c r="I159" i="73"/>
  <c r="H274" i="73"/>
  <c r="H180" i="73"/>
  <c r="G152" i="73"/>
  <c r="G80" i="73"/>
  <c r="G249" i="73"/>
  <c r="I254" i="73"/>
  <c r="E34" i="73"/>
  <c r="E429" i="87"/>
  <c r="G229" i="73"/>
  <c r="E485" i="87"/>
  <c r="E72" i="87"/>
  <c r="F184" i="73"/>
  <c r="G198" i="73"/>
  <c r="E393" i="87"/>
  <c r="E17" i="87"/>
  <c r="E524" i="87"/>
  <c r="I174" i="73"/>
  <c r="H74" i="73"/>
  <c r="F199" i="73"/>
  <c r="G38" i="73"/>
  <c r="H191" i="73"/>
  <c r="H286" i="73"/>
  <c r="F151" i="73"/>
  <c r="E327" i="87"/>
  <c r="E69" i="73"/>
  <c r="E402" i="87"/>
  <c r="E324" i="87"/>
  <c r="E5" i="87"/>
  <c r="E85" i="87"/>
  <c r="F173" i="73"/>
  <c r="E476" i="87"/>
  <c r="E339" i="87"/>
  <c r="G146" i="73"/>
  <c r="E18" i="87"/>
  <c r="G156" i="73"/>
  <c r="F287" i="73"/>
  <c r="F278" i="73"/>
  <c r="E562" i="87"/>
  <c r="E417" i="87"/>
  <c r="E70" i="87"/>
  <c r="E431" i="87"/>
  <c r="E228" i="87"/>
  <c r="E124" i="87"/>
  <c r="E49" i="73"/>
  <c r="G71" i="73"/>
  <c r="E435" i="87"/>
  <c r="E168" i="87"/>
  <c r="E548" i="87"/>
  <c r="E296" i="87"/>
  <c r="E198" i="87"/>
  <c r="E373" i="87"/>
  <c r="E489" i="87"/>
  <c r="I144" i="73"/>
  <c r="F202" i="73"/>
  <c r="E121" i="73"/>
  <c r="H83" i="73"/>
  <c r="I240" i="73"/>
  <c r="E437" i="87"/>
  <c r="E525" i="87"/>
  <c r="E419" i="87"/>
  <c r="E178" i="87"/>
  <c r="E573" i="87"/>
  <c r="E49" i="87"/>
  <c r="H197" i="73"/>
  <c r="G190" i="73"/>
  <c r="F28" i="73"/>
  <c r="E98" i="73"/>
  <c r="F148" i="73"/>
  <c r="E5" i="73"/>
  <c r="F283" i="73"/>
  <c r="E378" i="87"/>
  <c r="E446" i="87"/>
  <c r="H162" i="73"/>
  <c r="F200" i="73"/>
  <c r="G276" i="73"/>
  <c r="E538" i="87"/>
  <c r="E108" i="73"/>
  <c r="E588" i="87"/>
  <c r="G43" i="73"/>
  <c r="G188" i="73"/>
  <c r="E334" i="87"/>
  <c r="I58" i="73"/>
  <c r="F149" i="73"/>
  <c r="E169" i="73"/>
  <c r="G256" i="73"/>
  <c r="F176" i="73"/>
  <c r="F250" i="73"/>
  <c r="G134" i="73"/>
  <c r="G220" i="73"/>
  <c r="H248" i="73"/>
  <c r="E192" i="87"/>
  <c r="E567" i="87"/>
  <c r="E555" i="87"/>
  <c r="E355" i="87"/>
  <c r="E512" i="87"/>
  <c r="H236" i="73"/>
  <c r="E372" i="87"/>
  <c r="E147" i="87"/>
  <c r="I285" i="73"/>
  <c r="E238" i="73"/>
  <c r="F178" i="73"/>
  <c r="G173" i="73"/>
  <c r="F158" i="73"/>
  <c r="E484" i="87"/>
  <c r="E356" i="87"/>
  <c r="E133" i="87"/>
  <c r="E294" i="87"/>
  <c r="E533" i="87"/>
  <c r="E382" i="87"/>
  <c r="I95" i="73"/>
  <c r="E551" i="87"/>
  <c r="H119" i="73"/>
  <c r="E171" i="73"/>
  <c r="I10" i="73"/>
  <c r="F175" i="73"/>
  <c r="E182" i="87"/>
  <c r="H125" i="73"/>
  <c r="I156" i="73"/>
  <c r="H12" i="73"/>
  <c r="E597"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85BB59B1-C32B-49B4-93B9-43439A571502}">
      <text>
        <r>
          <rPr>
            <sz val="16"/>
            <color indexed="81"/>
            <rFont val="Tahoma"/>
            <family val="2"/>
          </rPr>
          <t xml:space="preserve">This template captures the basic information of the reporting obliged entity submitting the report.
Please ensure that you provide your LEI (if available) and/or the National Code used with your financial supervisor. The Country of Establishment must be the same as the country of the national financial upervisor to whom you are submitting this report.
The reporting currency is expected to be the currency of your Country of Establishment.
Template Remarks
This template applies to all reporting entities.
It is very important that all content is accurate and fully reflects your type of business, characteristics, licenses, and the products and services you offer, as many templates and validations depend on the information provided here.
The selection of the category does not imply that only the templates for this category need to be submitted. You need to submit all relevant templates related to the actual activities carried out bythe entity.
All monetary amounts shall be reported using the single currency reported in C0070. Do not add any currency symbols on cell for monetary amounts of the report, as only the currency indicated on this template is necessary and considered.
This should be the first template to fill out.
</t>
        </r>
      </text>
    </comment>
    <comment ref="B5" authorId="0" shapeId="0" xr:uid="{5F34BC41-0959-41A6-8F59-34F16968C50D}">
      <text>
        <r>
          <rPr>
            <sz val="16"/>
            <color indexed="81"/>
            <rFont val="Tahoma"/>
            <family val="2"/>
          </rPr>
          <t>Legal Entity Identifier (LEI) of the reporting obliged entity, assigned in accordance with ISO 17442, where available.
If the legal entity does not have an LEI, select N/A in the field. Non-legal entities (e.g. branches) should use the LEI of the parent undertaking.</t>
        </r>
      </text>
    </comment>
    <comment ref="C5" authorId="0" shapeId="0" xr:uid="{A8F0B8CE-660C-482E-AF96-EE20D737BC11}">
      <text>
        <r>
          <rPr>
            <sz val="16"/>
            <color indexed="81"/>
            <rFont val="Tahoma"/>
            <family val="2"/>
          </rPr>
          <t>National or supervisory identifier assigned to the entity by the national financial supervisor where the entity is registered or authorized.</t>
        </r>
      </text>
    </comment>
    <comment ref="D5" authorId="0" shapeId="0" xr:uid="{166D1069-805D-4806-9A33-2302A275588F}">
      <text>
        <r>
          <rPr>
            <sz val="16"/>
            <color indexed="81"/>
            <rFont val="Tahoma"/>
            <family val="2"/>
          </rPr>
          <t>Official legal name of the reporting obliged entity.</t>
        </r>
      </text>
    </comment>
    <comment ref="E5" authorId="0" shapeId="0" xr:uid="{16385075-6426-404E-8B14-1014273E8F92}">
      <text>
        <r>
          <rPr>
            <sz val="16"/>
            <color indexed="81"/>
            <rFont val="Tahoma"/>
            <family val="2"/>
          </rPr>
          <t>English name of the entity, if different from the official legal name in C0030. This field is optional and may be used to facilitate identification (e.g. where the official legal name is not in Latin characters or is difficult to interpret).</t>
        </r>
      </text>
    </comment>
    <comment ref="F5" authorId="0" shapeId="0" xr:uid="{A49F9694-C653-49D2-81D0-107DCDEF89CF}">
      <text>
        <r>
          <rPr>
            <sz val="16"/>
            <color indexed="81"/>
            <rFont val="Tahoma"/>
            <family val="2"/>
          </rPr>
          <t>Classification of the entity according to its regulated or supervised activity. Select the category that best reflects its main business model according to one of the options mentioned below.
The selection of the category does not imply that only the templates for this category need to be submitted. You need to submit all relevant templates related to the actual businesses of the entity. The categories to choose from are:
Credit institutions
Life insurance undertakings
Life insurance intermediaries
E money institutions
Payment institutions
Bureau de change
Investment firms
Asset management companies
CASP
Other financial institutions</t>
        </r>
      </text>
    </comment>
    <comment ref="G5" authorId="0" shapeId="0" xr:uid="{26E49134-60A0-46A3-B91C-38C2349C8BCC}">
      <text>
        <r>
          <rPr>
            <sz val="16"/>
            <color indexed="81"/>
            <rFont val="Tahoma"/>
            <family val="2"/>
          </rPr>
          <t>In case the reporting entity does not fit into any of the above categories and has chosen “other”, please use this column to provide a description of the relevant regulated/supervised activity.</t>
        </r>
      </text>
    </comment>
    <comment ref="H5" authorId="0" shapeId="0" xr:uid="{404F0716-4708-474B-B5D0-7C942AC611A2}">
      <text>
        <r>
          <rPr>
            <sz val="16"/>
            <color indexed="81"/>
            <rFont val="Tahoma"/>
            <family val="2"/>
          </rPr>
          <t>Country where the reporting entity is established. For reporting branches, this is the country where the branch is established (in opposition to the country where head-office is established).</t>
        </r>
      </text>
    </comment>
    <comment ref="I5" authorId="0" shapeId="0" xr:uid="{8C5010F0-6972-48D7-B502-DF2B8EE2852A}">
      <text>
        <r>
          <rPr>
            <sz val="16"/>
            <color indexed="81"/>
            <rFont val="Tahoma"/>
            <family val="2"/>
          </rPr>
          <t>Currency used for the reporting of all monetary values across this and all subsequent templates. All values in monetary columns must be converted to this currency if they are denominated in a different currency.</t>
        </r>
      </text>
    </comment>
    <comment ref="J5" authorId="0" shapeId="0" xr:uid="{28ACA5EB-D2FA-448E-84E2-ABC3C8C184A0}">
      <text>
        <r>
          <rPr>
            <sz val="16"/>
            <color indexed="81"/>
            <rFont val="Tahoma"/>
            <family val="2"/>
          </rPr>
          <t>Indicate whether the entity offered payment accounts at any point during the reference year. This is a binary flag (Yes/No) to determine the scope of subsequent reporting tables.</t>
        </r>
      </text>
    </comment>
    <comment ref="K5" authorId="0" shapeId="0" xr:uid="{D09E8C59-8F85-4801-B6BA-6B801F20D1B2}">
      <text>
        <r>
          <rPr>
            <sz val="16"/>
            <color indexed="81"/>
            <rFont val="Tahoma"/>
            <family val="2"/>
          </rPr>
          <t>Indicate whether the entity offered virtual IBANS at any point during the reference year. This is a binary flag (Yes/No) to determine the scope of subsequent reporting tables.</t>
        </r>
      </text>
    </comment>
    <comment ref="L5" authorId="0" shapeId="0" xr:uid="{37E76233-C8BE-47ED-9080-0633826AECBC}">
      <text>
        <r>
          <rPr>
            <sz val="16"/>
            <color indexed="81"/>
            <rFont val="Tahoma"/>
            <family val="2"/>
          </rPr>
          <t>Indicate whether the entity offered prepaid cards at any point during the reference year. This is a binary flag (Yes/No) to determine the scope of subsequent reporting tables.</t>
        </r>
      </text>
    </comment>
    <comment ref="M5" authorId="0" shapeId="0" xr:uid="{25A68DB6-2B3F-46B9-A60C-B745F44A9AE9}">
      <text>
        <r>
          <rPr>
            <sz val="16"/>
            <color indexed="81"/>
            <rFont val="Tahoma"/>
            <family val="2"/>
          </rPr>
          <t>Indicate whether the entity offered lending/ factoring at any point during the reference year. This is a binary flag (Yes/No) to determine the scope of subsequent reporting tables.</t>
        </r>
      </text>
    </comment>
    <comment ref="N5" authorId="0" shapeId="0" xr:uid="{C6EA8D2F-0B9A-470A-91F8-2BF38CDA7D17}">
      <text>
        <r>
          <rPr>
            <sz val="16"/>
            <color indexed="81"/>
            <rFont val="Tahoma"/>
            <family val="2"/>
          </rPr>
          <t>Indicate whether the entity offered life insurance contracts at any point during the reference year. This is a binary flag (Yes/No) to determine the scope of subsequent reporting tables.</t>
        </r>
      </text>
    </comment>
    <comment ref="O5" authorId="0" shapeId="0" xr:uid="{216ED733-FAEE-47E2-B8B1-ADB0D27AAFAA}">
      <text>
        <r>
          <rPr>
            <sz val="16"/>
            <color indexed="81"/>
            <rFont val="Tahoma"/>
            <family val="2"/>
          </rPr>
          <t>Indicate whether the entity offered currency exchange involving cash at any point during the reference year. This is a binary flag (Yes/No) to determine the scope of subsequent reporting tables.</t>
        </r>
      </text>
    </comment>
    <comment ref="P5" authorId="0" shapeId="0" xr:uid="{D0EC7D4A-2064-4115-ABE3-8DE3E636DEEB}">
      <text>
        <r>
          <rPr>
            <sz val="16"/>
            <color indexed="81"/>
            <rFont val="Tahoma"/>
            <family val="2"/>
          </rPr>
          <t>Indicate whether the entity offered custody of crypto assets at any point during the reference year. This is a binary flag (Yes/No) to determine the scope of subsequent reporting tables.</t>
        </r>
      </text>
    </comment>
    <comment ref="Q5" authorId="0" shapeId="0" xr:uid="{E2944B16-B0C7-4594-90E4-BB3C746CB576}">
      <text>
        <r>
          <rPr>
            <sz val="16"/>
            <color indexed="81"/>
            <rFont val="Tahoma"/>
            <family val="2"/>
          </rPr>
          <t>Indicate whether the entity offered investment services at any point during the reference year. This is a binary flag (Yes/No) to determine the scope of subsequent reporting tables.</t>
        </r>
      </text>
    </comment>
    <comment ref="R5" authorId="0" shapeId="0" xr:uid="{079807D9-CCC7-47EF-B4D4-0BB02195578B}">
      <text>
        <r>
          <rPr>
            <sz val="16"/>
            <color indexed="81"/>
            <rFont val="Tahoma"/>
            <family val="2"/>
          </rPr>
          <t>Indicate whether the entity offered money remittance at any point during the reference year. This is a binary flag (Yes/No) to determine the scope of subsequent reporting tables.</t>
        </r>
      </text>
    </comment>
    <comment ref="S5" authorId="0" shapeId="0" xr:uid="{E0C167D4-6E7F-44C4-A101-C496C6822231}">
      <text>
        <r>
          <rPr>
            <sz val="16"/>
            <color indexed="81"/>
            <rFont val="Tahoma"/>
            <family val="2"/>
          </rPr>
          <t>Indicate whether the entity offered wealth management at any point during the reference year. This is a binary flag (Yes/No) to determine the scope of subsequent reporting tables.</t>
        </r>
      </text>
    </comment>
    <comment ref="T5" authorId="0" shapeId="0" xr:uid="{4A93E5DC-4ECC-47CD-9542-C5C2F6DCBC03}">
      <text>
        <r>
          <rPr>
            <sz val="16"/>
            <color indexed="81"/>
            <rFont val="Tahoma"/>
            <family val="2"/>
          </rPr>
          <t>Indicate whether the entity offered correspondent services at any point during the reference year. This is a binary flag (Yes/No) to determine the scope of subsequent reporting tables.</t>
        </r>
      </text>
    </comment>
    <comment ref="U5" authorId="0" shapeId="0" xr:uid="{9CEB3964-CC51-4380-AA88-4E5510B7B1B9}">
      <text>
        <r>
          <rPr>
            <sz val="16"/>
            <color indexed="81"/>
            <rFont val="Tahoma"/>
            <family val="2"/>
          </rPr>
          <t>Indicate whether the entity offered trade finance at any point during the reference year. This is a binary flag (Yes/No) to determine the scope of subsequent reporting tables.</t>
        </r>
      </text>
    </comment>
    <comment ref="V5" authorId="0" shapeId="0" xr:uid="{E826CEBC-77B3-499E-90F5-434A5FF0D260}">
      <text>
        <r>
          <rPr>
            <sz val="16"/>
            <color indexed="81"/>
            <rFont val="Tahoma"/>
            <family val="2"/>
          </rPr>
          <t>Indicate whether the entity offered e-money at any point during the reference year. This is a binary flag (Yes/No) to determine the scope of subsequent reporting tables.</t>
        </r>
      </text>
    </comment>
    <comment ref="W5" authorId="0" shapeId="0" xr:uid="{DFC1774B-B15D-4C3F-9DCB-659F83A478A6}">
      <text>
        <r>
          <rPr>
            <sz val="16"/>
            <color indexed="81"/>
            <rFont val="Tahoma"/>
            <family val="2"/>
          </rPr>
          <t>Indicate whether the entity offered TCSP (Trust company service provider) services at any point during the reference year. This is a binary flag (Yes/No) to determine the scope of subsequent reporting tables.</t>
        </r>
      </text>
    </comment>
    <comment ref="X5" authorId="0" shapeId="0" xr:uid="{AF5C0656-7C38-400A-B4E6-398511C9C7CA}">
      <text>
        <r>
          <rPr>
            <sz val="16"/>
            <color indexed="81"/>
            <rFont val="Tahoma"/>
            <family val="2"/>
          </rPr>
          <t>Indicate whether the entity offered Crypto services (exchange, transfer) at any point during the reference year. This is a binary flag (Yes/No) to determine the scope of subsequent reporting tables.</t>
        </r>
      </text>
    </comment>
    <comment ref="Y5" authorId="0" shapeId="0" xr:uid="{6076E9B7-C447-471A-8586-665B15A9615A}">
      <text>
        <r>
          <rPr>
            <sz val="16"/>
            <color indexed="81"/>
            <rFont val="Tahoma"/>
            <family val="2"/>
          </rPr>
          <t>Indicate whether the entity offered management of UCITS at any point during the reference year. This is a binary flag (Yes/No) to determine the scope of subsequent reporting tables.</t>
        </r>
      </text>
    </comment>
    <comment ref="Z5" authorId="0" shapeId="0" xr:uid="{9A27CEC4-4C64-495A-A4C8-7F4852CE26DC}">
      <text>
        <r>
          <rPr>
            <sz val="16"/>
            <color indexed="81"/>
            <rFont val="Tahoma"/>
            <family val="2"/>
          </rPr>
          <t>Indicate whether the entity offered management of AIFS at any point during the reference year. This is a binary flag (Yes/No) to determine the scope of subsequent reporting tables.</t>
        </r>
      </text>
    </comment>
    <comment ref="AA5" authorId="0" shapeId="0" xr:uid="{9009EAAF-88B2-4841-B85B-A010AEA267C0}">
      <text>
        <r>
          <rPr>
            <sz val="16"/>
            <color indexed="81"/>
            <rFont val="Tahoma"/>
            <family val="2"/>
          </rPr>
          <t>Indicate whether the entity offered Crypto FIAT cards at any point during the reference year. This is a binary flag (Yes/No) to determine the scope of subsequent reporting tables.</t>
        </r>
      </text>
    </comment>
    <comment ref="AB5" authorId="0" shapeId="0" xr:uid="{AFD6125C-A636-4A94-813A-2D265FC86E53}">
      <text>
        <r>
          <rPr>
            <sz val="16"/>
            <color indexed="81"/>
            <rFont val="Tahoma"/>
            <family val="2"/>
          </rPr>
          <t>Indicate whether the entity offered safe custody services at any point during the reference year. This is a binary flag (Yes/No) to determine the scope of subsequent reporting tables.</t>
        </r>
      </text>
    </comment>
    <comment ref="AC5" authorId="0" shapeId="0" xr:uid="{4B7D9CAE-82C0-43B5-A0B1-F500B2EC9281}">
      <text>
        <r>
          <rPr>
            <sz val="16"/>
            <color indexed="81"/>
            <rFont val="Tahoma"/>
            <family val="2"/>
          </rPr>
          <t>Indicate whether the entity offered crowdfunding at any point during the reference year. This is a binary flag (Yes/No) to determine the scope of subsequent reporting tables.</t>
        </r>
      </text>
    </comment>
    <comment ref="AD5" authorId="0" shapeId="0" xr:uid="{52EDFFFE-B88B-4887-BB5A-E90EA4A2FB67}">
      <text>
        <r>
          <rPr>
            <sz val="16"/>
            <color indexed="81"/>
            <rFont val="Tahoma"/>
            <family val="2"/>
          </rPr>
          <t>Indicate whether the entity offered cash transactions at any point during the reference year. This is a binary flag (Yes/No) to determine the scope of subsequent reporting tables.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DC7B23F2-33D5-4B29-943D-F05279988637}">
      <text>
        <r>
          <rPr>
            <sz val="16"/>
            <color indexed="81"/>
            <rFont val="Tahoma"/>
            <family val="2"/>
          </rPr>
          <t xml:space="preserve">Template Remarks
Fill out this template if you offer some of these services and/or products, normally this template is applicable for CI, IF and AMC.
For the purpose of this section on Investment Services and Activities, consistently with Recital 103 of Directive 2014/65/EU (MiFID), eligible counterparties - as referred to in Article 30 of MiFID - should be considered to be acting as clients.
INVESTMENT SERVICES AND ACTIVITIES – TRANSMISSION OF ORDERS
For reporting purposes:
As per Annex I Section A (1) of Directive 2014/65/EU (MiFID), reception and transmission of orders (RTO) means the “reception and transmission of orders in relation to one or more financial instruments”. This should be interpreted as covering any activity where a firm receives a client instruction to transact in a financial instrument and forwards that instruction to a third party for execution.
This covers all financial instruments (e.g. funds, securities), whether held in direct custody or by a third party custodian.
This excludes: discretionary portfolio management trades, investment advice without order transmission, pure client introductions, technical order routing without client relationship, and activities where the firm neither receives nor transmits client transaction instructions.
</t>
        </r>
      </text>
    </comment>
    <comment ref="B5" authorId="0" shapeId="0" xr:uid="{EAC07267-AD09-4092-A006-36C9607F482D}">
      <text>
        <r>
          <rPr>
            <sz val="16"/>
            <color indexed="81"/>
            <rFont val="Tahoma"/>
            <family val="2"/>
          </rPr>
          <t>Indicate the total number of retail clients as of the end of the reference year.
As per Article 4(1)(11) of Directive 2014/65/EU (MiFID), ‘retail client’ means a client who is not a professional client.
In the case of joint accounts, each account holder shall be reported as a separate client.</t>
        </r>
      </text>
    </comment>
    <comment ref="C5" authorId="0" shapeId="0" xr:uid="{6312DBD3-9069-4F55-B3A4-A0D62989223D}">
      <text>
        <r>
          <rPr>
            <sz val="16"/>
            <color indexed="81"/>
            <rFont val="Tahoma"/>
            <family val="2"/>
          </rPr>
          <t>Indicate the total number of professional clients as defined in Article 4(1)(10) of Directive 2014/65/EU (MIFID), and further specified in Annex II of the same Directive, as of the end of the reference year.</t>
        </r>
      </text>
    </comment>
    <comment ref="D5" authorId="0" shapeId="0" xr:uid="{03142D76-420B-4E71-894E-1769A903DE70}">
      <text>
        <r>
          <rPr>
            <sz val="16"/>
            <color indexed="81"/>
            <rFont val="Tahoma"/>
            <family val="2"/>
          </rPr>
          <t>Amongst the total number of customers (retail and professional clients) receiving the service of transmission of order, indicate the total number of AML/CFT regulated customers (retail and professional clients) outside the EEA.
For the purpose of identifying AML/CFT regulated customers outside the EEA, reporting entities can use as a guidance the description of obliged entities as contained in Article 3 AMLR.</t>
        </r>
      </text>
    </comment>
    <comment ref="E5" authorId="0" shapeId="0" xr:uid="{D1DF7901-5646-4BE8-919B-634A584B709A}">
      <text>
        <r>
          <rPr>
            <sz val="16"/>
            <color indexed="81"/>
            <rFont val="Tahoma"/>
            <family val="2"/>
          </rPr>
          <t>This datapoint is not applicable for AMC.
Indicate the total number of retail clients as defined in Article 4(1)(11) of Directive 2014/65/EU (MiFID), as of the end of the reference year.</t>
        </r>
      </text>
    </comment>
    <comment ref="F5" authorId="0" shapeId="0" xr:uid="{95C9D3C8-2B91-44B9-AC5C-6D7A90EBE84B}">
      <text>
        <r>
          <rPr>
            <sz val="16"/>
            <color indexed="81"/>
            <rFont val="Tahoma"/>
            <family val="2"/>
          </rPr>
          <t>This datapoint is not applicable for AMC.
Indicate the number of professional clients as defined in Article 4(1)(10) of Directive 2014/65/EU (MIFID), and further specified in Annex II of the same Directive, as of the end of the reference year.</t>
        </r>
      </text>
    </comment>
    <comment ref="G5" authorId="0" shapeId="0" xr:uid="{62D58489-A9D9-42F1-8EEB-171D6A6BC9A5}">
      <text>
        <r>
          <rPr>
            <sz val="16"/>
            <color indexed="81"/>
            <rFont val="Tahoma"/>
            <family val="2"/>
          </rPr>
          <t>This datapoint is not applicable for AMC.
Indicate the percentage of assets under custody for which the obliged entity does not have a direct business relationship with the final investor, as of the end of the reference year.
Encompasses assets under custody, but also includes assets that the client holds directly or through other intermediaries where the specific firm in question does not have a custody or management role.
Final Investor: Refers to the end client or individual who ultimately owns and benefits from the investments, as opposed to intermediaries or entities managing or holding the assets on behalf of others.</t>
        </r>
      </text>
    </comment>
    <comment ref="H5" authorId="0" shapeId="0" xr:uid="{2A8931D9-04C4-4171-94F8-7DDEC0C183AD}">
      <text>
        <r>
          <rPr>
            <sz val="16"/>
            <color indexed="81"/>
            <rFont val="Tahoma"/>
            <family val="2"/>
          </rPr>
          <t>This datapoint is not applicable for AMC.
Amongst the total number of customers (retail and professional clients) receiving the service of custody account keeping, indicate the number of AML/CFT regulated customers outside the EEA, as of the end of the reference year.
For the purpose of identifying AML/CFT regulated customers outside the EEA, reporting entities can use as a guidance the description of obliged entities as contained in Article 3 AMLR.</t>
        </r>
      </text>
    </comment>
    <comment ref="I5" authorId="0" shapeId="0" xr:uid="{AA6CFAA8-7C16-4FA1-A655-FBB1FA9005A4}">
      <text>
        <r>
          <rPr>
            <sz val="16"/>
            <color indexed="81"/>
            <rFont val="Tahoma"/>
            <family val="2"/>
          </rPr>
          <t>Indicate the number of retail clients, as defined in Article 4(1)(11) of Directive 2014/65/EU (MiFID), as of the end of the reference year.</t>
        </r>
      </text>
    </comment>
    <comment ref="J5" authorId="0" shapeId="0" xr:uid="{4195B92D-3728-4E92-B5C9-C8B487055443}">
      <text>
        <r>
          <rPr>
            <sz val="16"/>
            <color indexed="81"/>
            <rFont val="Tahoma"/>
            <family val="2"/>
          </rPr>
          <t>Indicate the number of professional clients as defined in Article 4(1)(10) of Directive 2014/65/EU (MIFID), and further specified in Annex II of the same Directive, as of the end of the reference year.</t>
        </r>
      </text>
    </comment>
    <comment ref="K5" authorId="0" shapeId="0" xr:uid="{89E2E057-0219-4647-A610-13F31D8D8781}">
      <text>
        <r>
          <rPr>
            <sz val="16"/>
            <color indexed="81"/>
            <rFont val="Tahoma"/>
            <family val="2"/>
          </rPr>
          <t>Indicate the value of AUM, as the monetary stock of the end of the reference year.</t>
        </r>
      </text>
    </comment>
    <comment ref="L5" authorId="0" shapeId="0" xr:uid="{CBA4354C-2267-46BA-91E0-EAF772EE53EA}">
      <text>
        <r>
          <rPr>
            <sz val="16"/>
            <color indexed="81"/>
            <rFont val="Tahoma"/>
            <family val="2"/>
          </rPr>
          <t>Indicate the number of customers holding total assets with a value of at least EUR 5.000.000, as of the end of the reference year.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B2404D5D-29BC-478C-B89E-05890324EECD}">
      <text>
        <r>
          <rPr>
            <sz val="16"/>
            <color indexed="81"/>
            <rFont val="Tahoma"/>
            <family val="2"/>
          </rPr>
          <t xml:space="preserve">Template Remarks
Fill out this template if you offer some of these services and/or products, normally this template is applicable for CI, EMI and PI. 
Money Remittance as referred to in Article 4(22) of EU Directive (PSD) 2015/2366. All services provided by the reporting obliged entity that fall under that definition (e.g., bill payments) should be reported as money remittance.
</t>
        </r>
      </text>
    </comment>
    <comment ref="B5" authorId="0" shapeId="0" xr:uid="{B03DCE32-577A-488C-854A-D2CC90B2CBBF}">
      <text>
        <r>
          <rPr>
            <sz val="16"/>
            <color indexed="81"/>
            <rFont val="Tahoma"/>
            <family val="2"/>
          </rPr>
          <t>Transaction value should be intended as prior to the application of fees.
Indicate the total number of Money Remittance payments (Incoming) processed and executed during the reference year.</t>
        </r>
      </text>
    </comment>
    <comment ref="C5" authorId="0" shapeId="0" xr:uid="{C93F473F-6C96-44A7-9DA2-DC7CE8544916}">
      <text>
        <r>
          <rPr>
            <sz val="16"/>
            <color indexed="81"/>
            <rFont val="Tahoma"/>
            <family val="2"/>
          </rPr>
          <t>Transaction value should be intended as prior to the application of fees.
Indicate the total number of Money Remittance payments (Outgoing) processed and executed during the reference year.</t>
        </r>
      </text>
    </comment>
    <comment ref="D5" authorId="0" shapeId="0" xr:uid="{81507458-D7F9-4382-BA09-25E2C5075F97}">
      <text>
        <r>
          <rPr>
            <sz val="16"/>
            <color indexed="81"/>
            <rFont val="Tahoma"/>
            <family val="2"/>
          </rPr>
          <t>Transaction value should be intended as prior to the application of fees.
Indicate the total value of Money Remittance payments (Incoming) processed and executed during the reference year.</t>
        </r>
      </text>
    </comment>
    <comment ref="E5" authorId="0" shapeId="0" xr:uid="{3A598D24-8A3D-450C-8145-C3E841715166}">
      <text>
        <r>
          <rPr>
            <sz val="16"/>
            <color indexed="81"/>
            <rFont val="Tahoma"/>
            <family val="2"/>
          </rPr>
          <t>Transaction value should be intended as prior to the application of fees.
Indicate the total value of Money Remittance payments (Outgoing) processed and executed during the reference year.</t>
        </r>
      </text>
    </comment>
    <comment ref="F5" authorId="0" shapeId="0" xr:uid="{BF4D753C-A0CE-45D2-91A2-68775EB8BF8B}">
      <text>
        <r>
          <rPr>
            <sz val="16"/>
            <color indexed="81"/>
            <rFont val="Tahoma"/>
            <family val="2"/>
          </rPr>
          <t>Transaction value should be intended as prior to the application of fees.
Indicate the total number of money remittance transactions processed and executed above EUR 1.000 (incoming) during the reference year.
Only individual outgoing money remittance transactions with a transaction amount over EUR 1.000 should be counted. Aggregated or cumulative totals are not included.</t>
        </r>
      </text>
    </comment>
    <comment ref="G5" authorId="0" shapeId="0" xr:uid="{17E18CC9-0E78-4F15-9EBA-F4026E14F5F0}">
      <text>
        <r>
          <rPr>
            <sz val="16"/>
            <color indexed="81"/>
            <rFont val="Tahoma"/>
            <family val="2"/>
          </rPr>
          <t>Transaction value should be intended prior to the application of fees.
Indicate the total number of money remittance transactions processed and executed above EUR 1.000 (Outgoing) during the reference year.
Only individual outgoing money remittance transactions with a transaction amount over EUR 1.000 should be counted. Aggregated or cumulative totals are not included.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CE153A07-DECC-47B8-B296-C1ACE5C7A474}">
      <text>
        <r>
          <rPr>
            <sz val="16"/>
            <color indexed="81"/>
            <rFont val="Tahoma"/>
            <family val="2"/>
          </rPr>
          <t xml:space="preserve">Template Remarks
Fill out this template if you offer some of these services and/or products, normally this template is applicable for CI, LI, IF and CASP.
Wealth management encompasses all ‘banking and other financial services to high-net worth individuals and their families or businesses’, according to the ML/TF Risk Factor Guidelines (RFLGs), Guideline 12, EBA/GL/2021/02.
The value of the total assets shall comprise all financial, investable or real estate assets, or a combination thereof, excluding that customer’s private residence, in accordance with Article 34(5) AMLR._x000B_Discretionary management services should be accounted for. 
For LI: This data point is requested for life insurance services provided to high-net-worth customers (NP).
In cases where the policyholder is a legal entity and the insured person is a natural person (for instance, in the case of group contracts), insured persons are to be considered customers even if they are not the policyholder. 
For contracts which have two policyholders, both should be considered. The amount should not be divided.
AUM For LI: Surrender value for life insurance undertakings. The surrender value should reflect the amount, defined contractually, paid to the policyholder in case of early termination of the contract (i.e., before it becomes payable by maturity or occurrence of the insured event, such as death), net of charges and policy loans. It includes surrender values guaranteed and not guaranteed.
</t>
        </r>
      </text>
    </comment>
    <comment ref="B5" authorId="0" shapeId="0" xr:uid="{DB797415-9BD0-41C6-99E8-2F3AD49AA1C3}">
      <text>
        <r>
          <rPr>
            <sz val="16"/>
            <color indexed="81"/>
            <rFont val="Tahoma"/>
            <family val="2"/>
          </rPr>
          <t>Indicate number of unique customers as of end of the reference year.
The reference should be to the number of customers (NP) with total assets under management by the reporting obliged entity over a value of at least EUR 5.000.000 AND with total assets estimated or declared by the customer over a value of at least EUR 5.000.000.</t>
        </r>
      </text>
    </comment>
    <comment ref="C5" authorId="0" shapeId="0" xr:uid="{E9607B04-D0BA-4603-AB6E-AD4DAE8D22E8}">
      <text>
        <r>
          <rPr>
            <sz val="16"/>
            <color indexed="81"/>
            <rFont val="Tahoma"/>
            <family val="2"/>
          </rPr>
          <t>Indicate the total number of customers (NP) that fall under the definition of private banking (EBA Risk Factor Guidelines), as of end of the reference year.
For the purpose of this exercise, the threshold of total assets under management (by the obliged entity) with a value of at least EUR 500.000 is used.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50B9863A-8C35-4CB3-8C84-A333733A8BBC}">
      <text>
        <r>
          <rPr>
            <sz val="16"/>
            <color indexed="81"/>
            <rFont val="Tahoma"/>
            <family val="2"/>
          </rPr>
          <t xml:space="preserve">Template Remarks
Fill out this template if you offer some of these services and/or products, normally this template is applicable for CI, PI and CASP.
Reporting obliged entities should refer to correspondent relationship definition provided for in Article 2(1)(22) AMLR. 
Payable through accounts are correspondent accounts established by a respondent institution with a correspondent institution that are used directly by third parties to transact business on their own behalf.
Nested account are accounts where a financial institution (the nested financial institution) gains indirect access to conduct transactions and obtain access to other financial services by transacting through another financial institution’s (the respondent institution) correspondent account.
</t>
        </r>
      </text>
    </comment>
    <comment ref="B5" authorId="0" shapeId="0" xr:uid="{CAB0F2C5-6266-4913-AB80-FACEB363EE05}">
      <text>
        <r>
          <rPr>
            <sz val="16"/>
            <color indexed="81"/>
            <rFont val="Tahoma"/>
            <family val="2"/>
          </rPr>
          <t>Indicate the total value of transactions executed on behalf of the respondent client (Incoming) during the reference year.</t>
        </r>
      </text>
    </comment>
    <comment ref="C5" authorId="0" shapeId="0" xr:uid="{B6AC6287-DA16-4C4F-A93A-163D3F15AF97}">
      <text>
        <r>
          <rPr>
            <sz val="16"/>
            <color indexed="81"/>
            <rFont val="Tahoma"/>
            <family val="2"/>
          </rPr>
          <t>Indicate the total value of transactions executed on behalf of the respondent client (Outgoing) during the reference year.</t>
        </r>
      </text>
    </comment>
    <comment ref="D5" authorId="0" shapeId="0" xr:uid="{39C669CA-BA67-4752-951F-D18835565A9F}">
      <text>
        <r>
          <rPr>
            <sz val="16"/>
            <color indexed="81"/>
            <rFont val="Tahoma"/>
            <family val="2"/>
          </rPr>
          <t>Indicate the total value of transactions gone through payable through accounts (Incoming) during the reference year.</t>
        </r>
      </text>
    </comment>
    <comment ref="E5" authorId="0" shapeId="0" xr:uid="{E0BD140A-4D46-4363-B2D2-6D712FC05B93}">
      <text>
        <r>
          <rPr>
            <sz val="16"/>
            <color indexed="81"/>
            <rFont val="Tahoma"/>
            <family val="2"/>
          </rPr>
          <t>Indicate the total value of transactions gone through payable through accounts (Outgoing) during the reference year.</t>
        </r>
      </text>
    </comment>
    <comment ref="F5" authorId="0" shapeId="0" xr:uid="{23C353D9-44E5-41C6-8309-1A910E496C55}">
      <text>
        <r>
          <rPr>
            <sz val="16"/>
            <color indexed="81"/>
            <rFont val="Tahoma"/>
            <family val="2"/>
          </rPr>
          <t>Indicate the total value of transactions gone through nested accounts (Incoming)</t>
        </r>
      </text>
    </comment>
    <comment ref="G5" authorId="0" shapeId="0" xr:uid="{36C10A36-18D4-4D60-946A-1C4EB495554E}">
      <text>
        <r>
          <rPr>
            <sz val="16"/>
            <color indexed="81"/>
            <rFont val="Tahoma"/>
            <family val="2"/>
          </rPr>
          <t>Indicate the total value of transactions gone through nested accounts (Outgoing)</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2020113A-7557-4007-A56A-25440DD119FD}">
      <text>
        <r>
          <rPr>
            <sz val="16"/>
            <color indexed="81"/>
            <rFont val="Tahoma"/>
            <family val="2"/>
          </rPr>
          <t xml:space="preserve">Template Remarks
Fill out this template if you offer some of these services and/or products, normally this template is applicable for CI and CP.
Reporting obliged entities should refer to the definition of trade finance provided for in Article 4(1)(80) of Regulation (UE) No 575/2013 (CRR).
Trade Finance Transaction: A completed trade finance operation that results in an actual transfer of funds. 
Incoming trade finance transactions involve the import of goods or services, where the importer pays the exporter for the goods or services received.
Outgoing trade finance transactions, involve the export of goods or services, where the exporter receives payment from the importer.
</t>
        </r>
      </text>
    </comment>
    <comment ref="B5" authorId="0" shapeId="0" xr:uid="{2D58265C-C59F-4588-BBEB-2C2C135D953A}">
      <text>
        <r>
          <rPr>
            <sz val="16"/>
            <color indexed="81"/>
            <rFont val="Tahoma"/>
            <family val="2"/>
          </rPr>
          <t>Indicate the total number of unique trade finance customers as of as of end of the reference year.</t>
        </r>
      </text>
    </comment>
    <comment ref="C5" authorId="0" shapeId="0" xr:uid="{9B3E84A7-9E39-4329-91C9-46DD4117B153}">
      <text>
        <r>
          <rPr>
            <sz val="16"/>
            <color indexed="81"/>
            <rFont val="Tahoma"/>
            <family val="2"/>
          </rPr>
          <t>Indicate the total number of incoming trade finance transactions during the reference year.</t>
        </r>
      </text>
    </comment>
    <comment ref="D5" authorId="0" shapeId="0" xr:uid="{4EAD1649-16CA-4F5E-A7A7-63937B156A1A}">
      <text>
        <r>
          <rPr>
            <sz val="16"/>
            <color indexed="81"/>
            <rFont val="Tahoma"/>
            <family val="2"/>
          </rPr>
          <t>Indicate the total number of outgoing trade finance transactions during the reference year.</t>
        </r>
      </text>
    </comment>
    <comment ref="E5" authorId="0" shapeId="0" xr:uid="{ACB78FF5-9919-4968-8055-57D704B2DE16}">
      <text>
        <r>
          <rPr>
            <sz val="16"/>
            <color indexed="81"/>
            <rFont val="Tahoma"/>
            <family val="2"/>
          </rPr>
          <t>Indicate Trade Finance Transactions (Incoming) - Value during the reference year.</t>
        </r>
      </text>
    </comment>
    <comment ref="F5" authorId="0" shapeId="0" xr:uid="{3B4E373C-8C72-4521-A287-4C6ADEAC372C}">
      <text>
        <r>
          <rPr>
            <sz val="16"/>
            <color indexed="81"/>
            <rFont val="Tahoma"/>
            <family val="2"/>
          </rPr>
          <t>Indicate Trade Finance Transactions (Outgoing) - Value during the reference year.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642C55F1-94C7-4E6F-9C89-0D06800C6E00}">
      <text>
        <r>
          <rPr>
            <sz val="16"/>
            <color indexed="81"/>
            <rFont val="Tahoma"/>
            <family val="2"/>
          </rPr>
          <t xml:space="preserve">Template Remarks
Fill out this template if you offer some of these services and/or products, normally this template is applicable for CI and EMI.
For the purpose of this data collection, E-Money (Electronic money) should be understood as electronically, including magnetically, stored monetary value as represented by a claim on the issuer which is issued on receipt of funds for the purpose of making payment transactions as defined in Article 4(5) of Directive (EU) 2015/2366, and which is accepted by a natural or legal person other than the electronic money issuer (Article 2(3) of Directive 2009/110/EC)
</t>
        </r>
      </text>
    </comment>
    <comment ref="B5" authorId="0" shapeId="0" xr:uid="{C843835E-6FB2-41CC-AAD3-B0BC00480740}">
      <text>
        <r>
          <rPr>
            <sz val="16"/>
            <color indexed="81"/>
            <rFont val="Tahoma"/>
            <family val="2"/>
          </rPr>
          <t>Indicate E-money Transactions (Incoming) - Number during the reference year.</t>
        </r>
      </text>
    </comment>
    <comment ref="C5" authorId="0" shapeId="0" xr:uid="{05C05B4A-CD2F-489C-B8FA-81AF0A43CC79}">
      <text>
        <r>
          <rPr>
            <sz val="16"/>
            <color indexed="81"/>
            <rFont val="Tahoma"/>
            <family val="2"/>
          </rPr>
          <t>Indicate E-money Transactions (Outgoing) - Volume during the reference year.</t>
        </r>
      </text>
    </comment>
    <comment ref="D5" authorId="0" shapeId="0" xr:uid="{7435BF24-4D20-4E1F-8F92-1D0447E5EDF4}">
      <text>
        <r>
          <rPr>
            <sz val="16"/>
            <color indexed="81"/>
            <rFont val="Tahoma"/>
            <family val="2"/>
          </rPr>
          <t>Indicate E-money Transactions (Incoming) - Value during the reference year.</t>
        </r>
      </text>
    </comment>
    <comment ref="E5" authorId="0" shapeId="0" xr:uid="{47736114-B5FE-4FAE-A542-5621D72DC748}">
      <text>
        <r>
          <rPr>
            <sz val="16"/>
            <color indexed="81"/>
            <rFont val="Tahoma"/>
            <family val="2"/>
          </rPr>
          <t>Indicate E-money Transactions (Outgoing) - Value during the reference year.</t>
        </r>
      </text>
    </comment>
    <comment ref="F5" authorId="0" shapeId="0" xr:uid="{E88CCD07-1F87-4DC1-909D-CC6581370F0B}">
      <text>
        <r>
          <rPr>
            <sz val="16"/>
            <color indexed="81"/>
            <rFont val="Tahoma"/>
            <family val="2"/>
          </rPr>
          <t>Indicate the value of e-money payment transactions by non-identified customers during the reference year.
Reporting obliged entities should refer to Article 19(7) of EU 2024/1624 (AMLR), where obliged entities are exempted from applying, in full or in part, the customer due diligence measures referred to in Article 20(1), points (a), (b) and (c), with respect to electronic money on the basis of the proven low risk posed by the nature of the product during the reference year.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A9C598A0-07B1-4368-AD46-EAA2A7DB0932}">
      <text>
        <r>
          <rPr>
            <sz val="16"/>
            <color indexed="81"/>
            <rFont val="Tahoma"/>
            <family val="2"/>
          </rPr>
          <t xml:space="preserve">Template Remarks
Fill out this template if you offer some of these services and/or products, normally this template is applicable for CI and IF.
Reporting obliged entities should report the total number of Legal Entity customers in respect of which they act as Trust and company service providers (TCSPs). Providing these services involve a wide range of services and activities, including, among others: acting as a director or secretary of a company or similar position, providing a registered office or business address for a company, acting as trustees of an express trusts, etc. All activities must be interpreted in line with Article 2(1)(11) AMLR.
</t>
        </r>
      </text>
    </comment>
    <comment ref="B5" authorId="0" shapeId="0" xr:uid="{451D3E22-0C87-4B20-BDBD-D14FF66F5E21}">
      <text>
        <r>
          <rPr>
            <sz val="16"/>
            <color indexed="81"/>
            <rFont val="Tahoma"/>
            <family val="2"/>
          </rPr>
          <t>This refers to services provided by the obliged entity during the reference year.
Indicate the total number of legal entity customers that during the reference year have used TCSP services provided by the obliged entity.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43CC4B56-DA6F-46D3-87BC-C94B1CD994E3}">
      <text>
        <r>
          <rPr>
            <sz val="16"/>
            <color indexed="81"/>
            <rFont val="Tahoma"/>
            <family val="2"/>
          </rPr>
          <t xml:space="preserve">Template Remarks
Fill out this template if you offer some of these services and/or products, normally this template is applicable for CI, EMI and PI.
According to Article 3(1)(15) of Regulation (EU) 2023/1114: ‘crypto-asset service provider’ means a legal person or other undertaking whose occupation or business is the provision of one or more crypto-asset services to clients on a professional basis, and that is allowed to provide crypto-asset services in accordance with Article 59. This definition is relevant for non-EEA CASP, as long as they actively offer services to EU clients or advertises/solicits in the EU.
</t>
        </r>
      </text>
    </comment>
    <comment ref="B5" authorId="0" shapeId="0" xr:uid="{13245351-7D59-4C3F-A15D-028EFA847453}">
      <text>
        <r>
          <rPr>
            <sz val="16"/>
            <color indexed="81"/>
            <rFont val="Tahoma"/>
            <family val="2"/>
          </rPr>
          <t>Indicate the number of non-EEA crypto companies for which the obliged entity acts as a BIN-sponsor, as of the end of the reference year. BIN sponsorship is a financial arrangement in which the financial institution (the “sponsor”) lets another business access its payment environment using the sponsor’s Bank Identification Number (BIN).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9BF70B3E-B434-4C3B-B968-A8F0E0BDD862}">
      <text>
        <r>
          <rPr>
            <sz val="16"/>
            <color indexed="81"/>
            <rFont val="Tahoma"/>
            <family val="2"/>
          </rPr>
          <t xml:space="preserve">Template Remarks
Fill out this template if you offer some of these services and/or products, normally this template is applicable for CI, EMI, PI and CASP.
The provision by an obliged entity of services in line with Article 3(1)(16)(a) Regulation (EU) 2023/1114.
</t>
        </r>
      </text>
    </comment>
    <comment ref="B5" authorId="0" shapeId="0" xr:uid="{58627EA2-4D91-42E0-BE7B-DEAB83D25245}">
      <text>
        <r>
          <rPr>
            <sz val="16"/>
            <color indexed="81"/>
            <rFont val="Tahoma"/>
            <family val="2"/>
          </rPr>
          <t>Indicate the total number of customers holding crypto-assets as of end of the reference year.</t>
        </r>
      </text>
    </comment>
    <comment ref="C5" authorId="0" shapeId="0" xr:uid="{FF62BC7B-7180-4736-A9A0-F53A74E6CCC0}">
      <text>
        <r>
          <rPr>
            <sz val="16"/>
            <color indexed="81"/>
            <rFont val="Tahoma"/>
            <family val="2"/>
          </rPr>
          <t>Indicate the total value of crypto-assets held on customers’ custody wallets as of end of the reference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639C38D6-AE56-40B6-9672-8F4827113610}">
      <text>
        <r>
          <rPr>
            <sz val="16"/>
            <color indexed="81"/>
            <rFont val="Tahoma"/>
            <family val="2"/>
          </rPr>
          <t xml:space="preserve">Template Remarks
Fill out this template if you offer some of these services and/or products, normally this template is applicable for CI, EMI, PI, IF and CASP.
EXCHANGE FUNDS FOR CRYPTO-ASSETS
The provision by an obliged entity of services in line with Article 3(1)(16)(c) of Regulation (EU) 2023/1114, insofar as they involve the directional exchange of funds for crypto-assets.
‘Self-hosted address’ should be intended as defined in Article 3(20) of Regulation (EU) 2023/1113.
</t>
        </r>
      </text>
    </comment>
    <comment ref="B5" authorId="0" shapeId="0" xr:uid="{9800D6F4-9CC7-412C-804E-3B4A14C3CDAD}">
      <text>
        <r>
          <rPr>
            <sz val="16"/>
            <color indexed="81"/>
            <rFont val="Tahoma"/>
            <family val="2"/>
          </rPr>
          <t>Indicate the exchanges of Funds-to-Crypto - Value during the reference year.</t>
        </r>
      </text>
    </comment>
    <comment ref="C5" authorId="0" shapeId="0" xr:uid="{FD10F911-6002-43EE-9EC8-620641D726DE}">
      <text>
        <r>
          <rPr>
            <sz val="16"/>
            <color indexed="81"/>
            <rFont val="Tahoma"/>
            <family val="2"/>
          </rPr>
          <t>Indicate the exchanges of Funds-to-Crypto - Number of transactions during the reference year.</t>
        </r>
      </text>
    </comment>
    <comment ref="D5" authorId="0" shapeId="0" xr:uid="{41B4D504-1A85-4253-8C09-9A9880C92E76}">
      <text>
        <r>
          <rPr>
            <sz val="16"/>
            <color indexed="81"/>
            <rFont val="Tahoma"/>
            <family val="2"/>
          </rPr>
          <t>Indicate the exchanges of Funds-to-Crypto - Number of Customers using this service during the reference year.</t>
        </r>
      </text>
    </comment>
    <comment ref="E5" authorId="0" shapeId="0" xr:uid="{C17E8A43-5439-43F2-A7CE-DCB00FC3DFD6}">
      <text>
        <r>
          <rPr>
            <sz val="16"/>
            <color indexed="81"/>
            <rFont val="Tahoma"/>
            <family val="2"/>
          </rPr>
          <t>Transactions should be counted where a CASP exchanges funds for crypto-assets, and those crypto-assets are subsequently transferred to a self-hosted wallet, irrespective of whether the transfer takes place immediately or following a holding period on the platform.
Indicate the total number of transactions funds-to-crypto to self-hosted address during the reference year.</t>
        </r>
      </text>
    </comment>
    <comment ref="F5" authorId="0" shapeId="0" xr:uid="{80717E13-A3B5-4616-9C29-1ED692624346}">
      <text>
        <r>
          <rPr>
            <sz val="16"/>
            <color indexed="81"/>
            <rFont val="Tahoma"/>
            <family val="2"/>
          </rPr>
          <t>Indicate the exchanges of Crypto-to-Funds - Value during the reference year.</t>
        </r>
      </text>
    </comment>
    <comment ref="G5" authorId="0" shapeId="0" xr:uid="{F62E7E79-5D08-4541-9CAD-DD35A4F1DF13}">
      <text>
        <r>
          <rPr>
            <sz val="16"/>
            <color indexed="81"/>
            <rFont val="Tahoma"/>
            <family val="2"/>
          </rPr>
          <t>Indicate the exchanges of Crypto-to-Funds - Number of transactions during the reference year.</t>
        </r>
      </text>
    </comment>
    <comment ref="H5" authorId="0" shapeId="0" xr:uid="{AFDA6BA0-5581-420A-90D7-A552787E694A}">
      <text>
        <r>
          <rPr>
            <sz val="16"/>
            <color indexed="81"/>
            <rFont val="Tahoma"/>
            <family val="2"/>
          </rPr>
          <t>Indicate the exchanges of Crypto-to-Funds - Number of Customers using this service during the reference year.</t>
        </r>
      </text>
    </comment>
    <comment ref="I5" authorId="0" shapeId="0" xr:uid="{25DF59D5-433D-4126-898A-58968DDF4839}">
      <text>
        <r>
          <rPr>
            <sz val="16"/>
            <color indexed="81"/>
            <rFont val="Tahoma"/>
            <family val="2"/>
          </rPr>
          <t>Transactions should be counted where crypto assets originating from a self-hosted wallet are exchanged for funds by the CASP, regardless of whether the exchange occurs immediately or after a holding period during the reference year.
Indicate the total number of transactions crypto-to-funds from self-hosted address during the reference year.</t>
        </r>
      </text>
    </comment>
    <comment ref="J5" authorId="0" shapeId="0" xr:uid="{EC21868C-1E96-4AD4-98B6-30266746C714}">
      <text>
        <r>
          <rPr>
            <sz val="16"/>
            <color indexed="81"/>
            <rFont val="Tahoma"/>
            <family val="2"/>
          </rPr>
          <t>Indicate Crypto-to-Crypto - Value during the reference year.</t>
        </r>
      </text>
    </comment>
    <comment ref="K5" authorId="0" shapeId="0" xr:uid="{8C676261-3038-4BD1-A025-7C175217E133}">
      <text>
        <r>
          <rPr>
            <sz val="16"/>
            <color indexed="81"/>
            <rFont val="Tahoma"/>
            <family val="2"/>
          </rPr>
          <t>Indicate the exchanges of Crypto-to-Crypto - Number of Customers using this service during the reference year.</t>
        </r>
      </text>
    </comment>
    <comment ref="L5" authorId="0" shapeId="0" xr:uid="{B2DCEDC7-C0C9-4C7E-8BCC-9628D63933E6}">
      <text>
        <r>
          <rPr>
            <sz val="16"/>
            <color indexed="81"/>
            <rFont val="Tahoma"/>
            <family val="2"/>
          </rPr>
          <t>Indicate the exchanges of Crypto-to-Crypto - Number of transactions during the reference year.</t>
        </r>
      </text>
    </comment>
    <comment ref="M5" authorId="0" shapeId="0" xr:uid="{DF0B9967-4EF3-40E3-A769-E61CC915EC52}">
      <text>
        <r>
          <rPr>
            <sz val="16"/>
            <color indexed="81"/>
            <rFont val="Tahoma"/>
            <family val="2"/>
          </rPr>
          <t>Indicate the exchanges of Crypto-to-Crypto (to Self-hosted) – Number of transactions during the reference year.</t>
        </r>
      </text>
    </comment>
    <comment ref="N5" authorId="0" shapeId="0" xr:uid="{74E2043A-0789-4E1F-8F67-0065C6488452}">
      <text>
        <r>
          <rPr>
            <sz val="16"/>
            <color indexed="81"/>
            <rFont val="Tahoma"/>
            <family val="2"/>
          </rPr>
          <t>Indicate the exchanges of Crypto-to-Crypto (from Self-hosted) – Number of transactions during the reference year.</t>
        </r>
      </text>
    </comment>
    <comment ref="O5" authorId="0" shapeId="0" xr:uid="{F0F07078-30CE-4D73-BEC6-32609EF31832}">
      <text>
        <r>
          <rPr>
            <sz val="16"/>
            <color indexed="81"/>
            <rFont val="Tahoma"/>
            <family val="2"/>
          </rPr>
          <t>Indicate Transfers - Value transferred during the reference year.</t>
        </r>
      </text>
    </comment>
    <comment ref="P5" authorId="0" shapeId="0" xr:uid="{2358456F-7858-461E-AD62-9CD08DBF74E7}">
      <text>
        <r>
          <rPr>
            <sz val="16"/>
            <color indexed="81"/>
            <rFont val="Tahoma"/>
            <family val="2"/>
          </rPr>
          <t>Indicate Transfers - Customers using these services during the reference year.</t>
        </r>
      </text>
    </comment>
    <comment ref="Q5" authorId="0" shapeId="0" xr:uid="{2D07FD65-0146-4ADA-B0E4-F291317CA60B}">
      <text>
        <r>
          <rPr>
            <sz val="16"/>
            <color indexed="81"/>
            <rFont val="Tahoma"/>
            <family val="2"/>
          </rPr>
          <t>Indicate Transfers – number of transfers during the reference year.</t>
        </r>
      </text>
    </comment>
    <comment ref="R5" authorId="0" shapeId="0" xr:uid="{63EF881D-71D9-4F21-B00B-8D68699C266A}">
      <text>
        <r>
          <rPr>
            <sz val="16"/>
            <color indexed="81"/>
            <rFont val="Tahoma"/>
            <family val="2"/>
          </rPr>
          <t>Indicate Transfers (to Self-hosted) – Number of transfers during the reference year.</t>
        </r>
      </text>
    </comment>
    <comment ref="S5" authorId="0" shapeId="0" xr:uid="{5C356FAA-C808-4C46-9C9A-286B4343B05F}">
      <text>
        <r>
          <rPr>
            <sz val="16"/>
            <color indexed="81"/>
            <rFont val="Tahoma"/>
            <family val="2"/>
          </rPr>
          <t>Indicate Transfers (from Self-hosted) – Number of transfers during the reference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A061A802-A297-4215-9E3B-545C08F3F9BD}">
      <text>
        <r>
          <rPr>
            <sz val="16"/>
            <color indexed="81"/>
            <rFont val="Tahoma"/>
            <family val="2"/>
          </rPr>
          <t xml:space="preserve">Template Remarks
This template (cluster of datapoints) is applicable for all sectors 
Use this template only to report comments related to the testing exercise or the information submitted. Please note that comments must not change or reinterpret the reported data. They should only serve to clarify methodologies applied, assumptions made, or issues encountered during the preparation of the testing exercise information.
</t>
        </r>
      </text>
    </comment>
    <comment ref="B5" authorId="0" shapeId="0" xr:uid="{6BA68177-F757-4CAE-8977-D4C22FCED75B}">
      <text>
        <r>
          <rPr>
            <sz val="16"/>
            <color indexed="81"/>
            <rFont val="Tahoma"/>
            <family val="2"/>
          </rPr>
          <t>Indicate the specific template the comment relate to. If the comment refers to the whole reporting obligation, leave it blank.</t>
        </r>
      </text>
    </comment>
    <comment ref="C5" authorId="0" shapeId="0" xr:uid="{DD85BC73-CC9C-498C-AF90-CECBB5949B22}">
      <text>
        <r>
          <rPr>
            <sz val="16"/>
            <color indexed="81"/>
            <rFont val="Tahoma"/>
            <family val="2"/>
          </rPr>
          <t>Choose the specific column where the comments relate to. If the comment refers to the whole reporting template, leave it blank.</t>
        </r>
      </text>
    </comment>
    <comment ref="D5" authorId="0" shapeId="0" xr:uid="{135F9562-B745-468C-9908-30A729AC80D0}">
      <text>
        <r>
          <rPr>
            <sz val="16"/>
            <color indexed="81"/>
            <rFont val="Tahoma"/>
            <family val="2"/>
          </rPr>
          <t>If the comment relates to a specific line of the templates AML.05.01 Geographies and AML.06.01 Distribution channels, specific country of the row that the comments relate to. If the comment refers to all the lines, leave it blank.</t>
        </r>
      </text>
    </comment>
    <comment ref="E5" authorId="0" shapeId="0" xr:uid="{04E5E02F-C18E-4D9B-BEC5-D24D7DB38167}">
      <text>
        <r>
          <rPr>
            <sz val="16"/>
            <color indexed="81"/>
            <rFont val="Tahoma"/>
            <family val="2"/>
          </rPr>
          <t>Text for the comment to be submitted in relation to the testing calibration exercise. While any official EU language is permitted, please include the comment in English whenever possible.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C07605DC-9385-4AC5-AE64-92ECA7951B38}">
      <text>
        <r>
          <rPr>
            <sz val="16"/>
            <color indexed="81"/>
            <rFont val="Tahoma"/>
            <family val="2"/>
          </rPr>
          <t xml:space="preserve">Template Remarks
Fill out this template if you offer some of these services and/or products, normally this template is applicable for AMC.
MANAGEMENT OF UCITS
An undertaking for collective investment in transferable securities (UCITS) is a collective investment vehicle that raises capital from the public and invests it, with due regard to specific restrictions on investments and diversification requirements. The characteristics of a UCITS have been set down in the UCITS Directive (2009/65/EC).
</t>
        </r>
      </text>
    </comment>
    <comment ref="B5" authorId="0" shapeId="0" xr:uid="{2571F019-709C-49D7-8D1C-D8FC1132D1E4}">
      <text>
        <r>
          <rPr>
            <sz val="16"/>
            <color indexed="81"/>
            <rFont val="Tahoma"/>
            <family val="2"/>
          </rPr>
          <t>The person investing in the UCITS (generally by purchasing the shares issued by such UCITS), where this person is retail client as defined in MiFID. Where the obliged entity is an asset management company which does not have access to this information (as is often the case in practice), this field is not mandatory.
Indicate the number of customers who are retail investors, as of the end of the reference year.</t>
        </r>
      </text>
    </comment>
    <comment ref="C5" authorId="0" shapeId="0" xr:uid="{0368A417-94B3-47ED-AB50-7D12CC75E5CC}">
      <text>
        <r>
          <rPr>
            <sz val="16"/>
            <color indexed="81"/>
            <rFont val="Tahoma"/>
            <family val="2"/>
          </rPr>
          <t>The person investing in the UCIT (generally by purchasing the shares issued by such UCIT), where this person is a professional client as defined in MiFID. Where the obliged entity is an asset management company which does not have access to this information (as is often the case in practice), this field is not mandatory.
Indicate the number of customers who are professional investors, as of the end of the reference year.</t>
        </r>
      </text>
    </comment>
    <comment ref="D5" authorId="0" shapeId="0" xr:uid="{C97DA074-FADF-438E-B66D-C25935DF7669}">
      <text>
        <r>
          <rPr>
            <sz val="16"/>
            <color indexed="81"/>
            <rFont val="Tahoma"/>
            <family val="2"/>
          </rPr>
          <t>The concept of Total Asset under Management of UCITSs should refer to the sum as of end of the reference year “Total Net Asset Value” of all UCITS funds managed by the Management Company, as presented in Schedule B of Annex I. of the UCITS Directive (2009/65/EC).
Indicate the total assets under management of UCITS as of end of the reference year.</t>
        </r>
      </text>
    </comment>
    <comment ref="E5" authorId="0" shapeId="0" xr:uid="{51C8CAAE-8657-4D25-B42A-6D2E47049F4D}">
      <text>
        <r>
          <rPr>
            <sz val="16"/>
            <color indexed="81"/>
            <rFont val="Tahoma"/>
            <family val="2"/>
          </rPr>
          <t>The person investing in the AIF (generally by purchasing the shares issued by such AIF), where this person is retail client as defined in MiFID. Where the obliged entity is an asset management company which does not have access to this information (as is often the case in practice), this field is not mandatory.
Indicate the number of customers who are retail investors, as of the end of the reference year.</t>
        </r>
      </text>
    </comment>
    <comment ref="F5" authorId="0" shapeId="0" xr:uid="{51BDD9FD-34D9-4A99-8338-F6F28A9CEC10}">
      <text>
        <r>
          <rPr>
            <sz val="16"/>
            <color indexed="81"/>
            <rFont val="Tahoma"/>
            <family val="2"/>
          </rPr>
          <t>The person investing in the AIF (generally by purchasing the shares issued by such AIF), where this person is a professional client as defined in MiFID. Where the obliged entity is an asset management company which does not have access to this information (as is often the case in practice), this field is not mandatory.
Indicate the number of customers who are professional investors, as of the end of the reference year.</t>
        </r>
      </text>
    </comment>
    <comment ref="G5" authorId="0" shapeId="0" xr:uid="{5C223A2A-F625-4A51-B15B-24272B94F40C}">
      <text>
        <r>
          <rPr>
            <sz val="16"/>
            <color indexed="81"/>
            <rFont val="Tahoma"/>
            <family val="2"/>
          </rPr>
          <t>An open-ended fund is a collective investment vehicle in which investors can subscribe and redeem on-demand.
Indicate the number of open-ended funds as of end of the reference year.</t>
        </r>
      </text>
    </comment>
    <comment ref="H5" authorId="0" shapeId="0" xr:uid="{0B1D46CE-22F7-47B5-8FB2-CE6052F69F92}">
      <text>
        <r>
          <rPr>
            <sz val="16"/>
            <color indexed="81"/>
            <rFont val="Tahoma"/>
            <family val="2"/>
          </rPr>
          <t>Collective investment vehicle in which investors cannot subscribe and redeem on-demand.
Indicate the number of closed-ended funds as of end of the reference year.</t>
        </r>
      </text>
    </comment>
    <comment ref="I5" authorId="0" shapeId="0" xr:uid="{EF231FD2-FA61-4B6F-ACDD-9BED10F7AA54}">
      <text>
        <r>
          <rPr>
            <sz val="16"/>
            <color indexed="81"/>
            <rFont val="Tahoma"/>
            <family val="2"/>
          </rPr>
          <t>The concept of Total Assets under Management of AIFs should refer to the sum - as of end of the reference year – of the Total Net Asset Value (NAV) of all AIFs managed by the AIFM. While the AIFMD does not provide a formal definition of NAV, Articles 23 and 24 require the AIFM to report the NAV per unit/share to investors and competent authorities, in accordance with the valuation procedures established for each AIF. The Total NAV for each AIF is calculated by multiplying the NAV per unit/share by the total number of units/shares outstanding. Therefore, the obliged entity (AIFM) should report consistently with the information required under the Directive for the AIFs it manages.
Indicate the total assets under management of AIFM as of end of the reference year.</t>
        </r>
      </text>
    </comment>
    <comment ref="J5" authorId="0" shapeId="0" xr:uid="{25D040CB-1598-4743-B34B-BFF5E549A8E6}">
      <text>
        <r>
          <rPr>
            <sz val="16"/>
            <color indexed="81"/>
            <rFont val="Tahoma"/>
            <family val="2"/>
          </rPr>
          <t>Unlisted assets are financial instruments that are not traded on a regulated market, multilateral trading facility (MTF), or organised trading facility (OTF).
Indicate the total assets under management in unlisted assets as of end of the reference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DAEEF821-2919-420D-A2C9-711DB2B2AE8F}">
      <text>
        <r>
          <rPr>
            <sz val="16"/>
            <color indexed="81"/>
            <rFont val="Tahoma"/>
            <family val="2"/>
          </rPr>
          <t xml:space="preserve">Template Remarks
Fill out this template if you offer some of these services and/or products, normally this template is applicable for CI. 
Safe deposit boxes refer to secure, individually assigned physical storage containers located within a regulated credit institution or financial entity’s premises, rented or otherwise made available to customers, typically under a contractual agreement.
</t>
        </r>
      </text>
    </comment>
    <comment ref="B5" authorId="0" shapeId="0" xr:uid="{B9D53E5C-452B-462C-B8E7-B399F5282FA5}">
      <text>
        <r>
          <rPr>
            <sz val="16"/>
            <color indexed="81"/>
            <rFont val="Tahoma"/>
            <family val="2"/>
          </rPr>
          <t>Indicate the total number of customers using safe deposit boxes as of as of end of the reference year.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FC8E2923-B9B2-42EC-A9B2-07F0C11AE07A}">
      <text>
        <r>
          <rPr>
            <sz val="16"/>
            <color indexed="81"/>
            <rFont val="Tahoma"/>
            <family val="2"/>
          </rPr>
          <t xml:space="preserve">Template Remarks
Fill out this template if you offer some of these services and/or products, normally this template is applicable for CI, CP, EMI, PI, IF and CASP.
Refers to ‘crowdfunding services’ within the meaning of Article 2(1)(a) of Regulation (EU) 2020/1503.
This activity must be carried out directly by the Reporting obliged entity under an authorization granted pursuant to Article 12 of Regulation (EU) 2020/1503. Therefore, only activities for which the Obliged Entity is authorized as a crowdfunding service provider should be included.
Transactions where an investor instructs, for example, a credit institution to execute a payment towards a crowdfunding platform for a specific project do not qualify as crowdfunding services; they are considered payment services only and should not be reported under the data points referred to crowdfunding.
</t>
        </r>
      </text>
    </comment>
    <comment ref="B5" authorId="0" shapeId="0" xr:uid="{828A916E-D338-4267-B1DA-CD4AE2516168}">
      <text>
        <r>
          <rPr>
            <sz val="16"/>
            <color indexed="81"/>
            <rFont val="Tahoma"/>
            <family val="2"/>
          </rPr>
          <t>Refers to ‘crowdfunding project’ within the meaning of Article 2(1)(l) of Regulation (EU) 2020/1503: the business activity or activities for which a project owner seeks funding through the crowdfunding offer.
Indicate the total Value of funds collected during the reference year as part of ‘crowdfunding project’.</t>
        </r>
      </text>
    </comment>
    <comment ref="C5" authorId="0" shapeId="0" xr:uid="{406CE1FF-4583-4A51-B1D2-8A163380CE05}">
      <text>
        <r>
          <rPr>
            <sz val="16"/>
            <color indexed="81"/>
            <rFont val="Tahoma"/>
            <family val="2"/>
          </rPr>
          <t>Total number of crowdfunding projects for which funding was successfully completed during the reference year. Refer to ‘crowdfunding project’ within the meaning of Article 2(1)(l) of Regulation (EU) 2020/1503.
Indicate the total number of successfully funded projects during the reference year.</t>
        </r>
      </text>
    </comment>
    <comment ref="D5" authorId="0" shapeId="0" xr:uid="{777BCF3A-F152-4A0B-B00E-67EA969346CD}">
      <text>
        <r>
          <rPr>
            <sz val="16"/>
            <color indexed="81"/>
            <rFont val="Tahoma"/>
            <family val="2"/>
          </rPr>
          <t>For the concept of donor we refer to the concept of investors, as described in Article 2(1)(i) of Regulation (EU) 2020/1503: any natural or legal person who, through a crowdfunding platform, grants loans or acquires transferable securities or admitted instruments for crowdfunding purposes.
Indicate the total number of donors from high-risk countries during the reference year, for the purpose of this data collection, the country should be referred to the country of the payment account of the donor.</t>
        </r>
      </text>
    </comment>
    <comment ref="E5" authorId="0" shapeId="0" xr:uid="{0DE49D70-2FD0-4CB7-996C-1C8F17079D7B}">
      <text>
        <r>
          <rPr>
            <sz val="16"/>
            <color indexed="81"/>
            <rFont val="Tahoma"/>
            <family val="2"/>
          </rPr>
          <t>Project owner is defined in Article 2(1)(h) of Regulation (EU) 2020/1503.
Indicate the total number of projects where the owner is from a high-risk country during the reference year.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6B4A28BC-DFB9-4CBF-AD84-5C19B0603258}">
      <text>
        <r>
          <rPr>
            <sz val="16"/>
            <color indexed="81"/>
            <rFont val="Tahoma"/>
            <family val="2"/>
          </rPr>
          <t xml:space="preserve">Template Remarks
Fill out this template if you offer some of these services and/or products, normally this template is applicable for CI, CP, LI, EMI, PI and CASP.
Cash transactions refers to transaction based on cash, as defined in Article 2(1)(43) AMLR.
</t>
        </r>
      </text>
    </comment>
    <comment ref="B5" authorId="0" shapeId="0" xr:uid="{AF00355F-0960-42F0-A434-A701CD3F4A31}">
      <text>
        <r>
          <rPr>
            <sz val="16"/>
            <color indexed="81"/>
            <rFont val="Tahoma"/>
            <family val="2"/>
          </rPr>
          <t>Indicate Cash Transactions (Withdrawals) - Number during the reference year.</t>
        </r>
      </text>
    </comment>
    <comment ref="C5" authorId="0" shapeId="0" xr:uid="{B3D9B81D-6220-4178-9559-A645D0F3AFE6}">
      <text>
        <r>
          <rPr>
            <sz val="16"/>
            <color indexed="81"/>
            <rFont val="Tahoma"/>
            <family val="2"/>
          </rPr>
          <t>Indicate Cash Transactions (Deposits) - Number during the reference year.</t>
        </r>
      </text>
    </comment>
    <comment ref="D5" authorId="0" shapeId="0" xr:uid="{638AFB47-D0C4-4B2A-8661-33F54580340C}">
      <text>
        <r>
          <rPr>
            <sz val="16"/>
            <color indexed="81"/>
            <rFont val="Tahoma"/>
            <family val="2"/>
          </rPr>
          <t>Indicate Cash Transactions (Withdrawals) - Value during the reference year.</t>
        </r>
      </text>
    </comment>
    <comment ref="E5" authorId="0" shapeId="0" xr:uid="{44874025-048A-4005-8FDD-1E7EC5D4EE16}">
      <text>
        <r>
          <rPr>
            <sz val="16"/>
            <color indexed="81"/>
            <rFont val="Tahoma"/>
            <family val="2"/>
          </rPr>
          <t>Indicate Cash Transactions (Deposits) - Value during the reference year.</t>
        </r>
      </text>
    </comment>
    <comment ref="F5" authorId="0" shapeId="0" xr:uid="{1C8B0F83-A4CA-46F6-BD71-1FA1C9644B72}">
      <text>
        <r>
          <rPr>
            <sz val="16"/>
            <color indexed="81"/>
            <rFont val="Tahoma"/>
            <family val="2"/>
          </rPr>
          <t>Indicate the number of customers with Cash Transactions (Withdrawals + Deposits) &gt; EUR 20.000 during the reference year.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15C82C60-DFB7-46F4-B388-1641BE9E4883}">
      <text>
        <r>
          <rPr>
            <sz val="16"/>
            <color indexed="81"/>
            <rFont val="Tahoma"/>
            <family val="2"/>
          </rPr>
          <t xml:space="preserve">Template Remarks
This template (cluster of datapoints) is applicable for all sectors (unless it is mentioned in the datapoint otherwise). 
For the purpose of this exercise, “per country” in the data points relevant for transactions mean country of the account of the counterparty - payer for incoming transactions and of the payee for outgoing transactions.
</t>
        </r>
      </text>
    </comment>
    <comment ref="B5" authorId="0" shapeId="0" xr:uid="{59700CC2-B641-4210-8499-482D592B046E}">
      <text>
        <r>
          <rPr>
            <sz val="16"/>
            <color indexed="81"/>
            <rFont val="Tahoma"/>
            <family val="2"/>
          </rPr>
          <t>Select the country using the ISO 3166-1 alpha-2 code.</t>
        </r>
      </text>
    </comment>
    <comment ref="C5" authorId="0" shapeId="0" xr:uid="{D6C6BECF-0144-49E1-980B-02F832056A38}">
      <text>
        <r>
          <rPr>
            <sz val="16"/>
            <color indexed="81"/>
            <rFont val="Tahoma"/>
            <family val="2"/>
          </rPr>
          <t>This datapoint is applicable for all sectors.
Per country data should be based on the customers’ country of residence.
Indicate the number of customers which are Natural Persons (NP) per country, as of end of the reference year.
In case of multiple residencies, take the usual place of residence as per CDD records.
Clients can be treated as natural persons unless they are legally registered as a Legal Entity. This refers to amongst others freelancers/self-employed/sole proprietorships without LE status etc.</t>
        </r>
      </text>
    </comment>
    <comment ref="D5" authorId="0" shapeId="0" xr:uid="{3C0BC435-E006-47E2-B240-2191D213744D}">
      <text>
        <r>
          <rPr>
            <sz val="16"/>
            <color indexed="81"/>
            <rFont val="Tahoma"/>
            <family val="2"/>
          </rPr>
          <t>This datapoint is applicable for all sectors.
For the purposes of this data collection exercise, Legal entities include legal persons as well as express trust and similar legal arrangements.
Legal entities in the same corporate group and connected legal entities (constructed relationships) should be counted separately.
Per country data should be based on the customers’ country of registration – where the address of the registered or official office is located.
Indicate the number of customers which are Legal Entities (LE) per country, as of end of the reference year.
Legal entities with branches shall be reported only once, according to the country of registration of the head office.</t>
        </r>
      </text>
    </comment>
    <comment ref="E5" authorId="0" shapeId="0" xr:uid="{964FFB77-41B0-4EEC-B5CD-7FC30CF9A7C6}">
      <text>
        <r>
          <rPr>
            <sz val="16"/>
            <color indexed="81"/>
            <rFont val="Tahoma"/>
            <family val="2"/>
          </rPr>
          <t>This datapoint is applicable for all sectors.
Indicate the number of Natural Person (NP) customers who are identified as: (i) politically exposed persons (PEPs), (ii) family members of PEPs, or (iii) persons known to be close associates of PEPs, per country, as of end of the reference year.
For the purposes of this data point, the country dimension refers to the PEP’s country of nationality (i.e. for family members and close associates, the country of nationality of the related PEP).
See the definition of ‘PEP’, ‘family member’, and ‘person known to be close associate’ in Annex 2.</t>
        </r>
      </text>
    </comment>
    <comment ref="F5" authorId="0" shapeId="0" xr:uid="{4045E216-98C9-42C2-BED2-4DA0F547BF46}">
      <text>
        <r>
          <rPr>
            <sz val="16"/>
            <color indexed="81"/>
            <rFont val="Tahoma"/>
            <family val="2"/>
          </rPr>
          <t>This datapoint is applicable for all sectors.
Indicate the number of Legal Entity (LE) customers whose Beneficial Owners (BOs) include at least one politically exposed person (PEP), a family member of a PEP, or a person known to be a close associate of a PEP, per country, as of end of the reference year.
For the purposes of this data point, the country dimension refers to the PEP’s country of nationality (i.e. for family members and close associates, the country of nationality of the related PEP).
When a single legal entity has multiple BOs that are PEPs, family members of PEPs or persons known to be close associates of PEPs either from the same country or from different countries, report only once per country.
See the definition of ‘PEP’, ‘family member’, and ‘person known to be close associate’ in Annex 2.
BO means any natural person who ultimately owns or controls a legal entity or an express trust or similar legal arrangement, as defined in Article 2(1)(28), AMLR.
As per recital 125 AMLR, senior managing officials (SMOs) reported instead of the beneficial owners where no natural person is identifiable who ultimately owns or exerts control over an entity (as per Article 22(2) AMLR) are not beneficial owners, and shall not be counted for the purpose of reporting this datapoint.</t>
        </r>
      </text>
    </comment>
    <comment ref="G5" authorId="0" shapeId="0" xr:uid="{4D2B3815-E8C3-46A3-B0BE-56EEF7FE6708}">
      <text>
        <r>
          <rPr>
            <sz val="16"/>
            <color indexed="81"/>
            <rFont val="Tahoma"/>
            <family val="2"/>
          </rPr>
          <t>This datapoint is not applicable for IF and AMC.
Indicate the number of incoming transactions during the reference year by country.
The country to refer to is the country where the payment originated (the country of the payers bank account)</t>
        </r>
      </text>
    </comment>
    <comment ref="H5" authorId="0" shapeId="0" xr:uid="{E9F5DCD9-4581-42B4-A755-370A9573504D}">
      <text>
        <r>
          <rPr>
            <sz val="16"/>
            <color indexed="81"/>
            <rFont val="Tahoma"/>
            <family val="2"/>
          </rPr>
          <t>This datapoint is not applicable for IF and AMC.
Indicate the total value (EUR) of incoming transactions in the reference year by country.</t>
        </r>
      </text>
    </comment>
    <comment ref="I5" authorId="0" shapeId="0" xr:uid="{6050625F-BEF6-47BF-B22F-55FD8C8792EF}">
      <text>
        <r>
          <rPr>
            <sz val="16"/>
            <color indexed="81"/>
            <rFont val="Tahoma"/>
            <family val="2"/>
          </rPr>
          <t>This datapoint is not applicable for IF and AMC.
Indicate the number of outgoing transactions during the reference year by country.</t>
        </r>
      </text>
    </comment>
    <comment ref="J5" authorId="0" shapeId="0" xr:uid="{6B8DF0C7-B231-4D82-A2D5-DDDA9D79FDD0}">
      <text>
        <r>
          <rPr>
            <sz val="16"/>
            <color indexed="81"/>
            <rFont val="Tahoma"/>
            <family val="2"/>
          </rPr>
          <t>This datapoint is not applicable for IF and AMC.
Indicate the total value (EUR) of outgoing transactions during the reference year by country.</t>
        </r>
      </text>
    </comment>
    <comment ref="K5" authorId="0" shapeId="0" xr:uid="{784249FA-BB74-44BC-B985-916177B6A6A5}">
      <text>
        <r>
          <rPr>
            <sz val="16"/>
            <color indexed="81"/>
            <rFont val="Tahoma"/>
            <family val="2"/>
          </rPr>
          <t>This datapoint is only applicable for AMC.
The reference here is to the aggregated value of investment flows (asset side) during the reference year (broken down by country the flows come from).
Indicate the total value (EUR) of entity's investment undertakings (CIUs) by country.</t>
        </r>
      </text>
    </comment>
    <comment ref="L5" authorId="0" shapeId="0" xr:uid="{377AFB65-6E53-4BE7-B2E3-B47E61C42075}">
      <text>
        <r>
          <rPr>
            <sz val="16"/>
            <color indexed="81"/>
            <rFont val="Tahoma"/>
            <family val="2"/>
          </rPr>
          <t>This datapoint is only applicable for IF and AMC
Indicate the number of investors by country, as of end of the reference year.</t>
        </r>
      </text>
    </comment>
    <comment ref="M5" authorId="0" shapeId="0" xr:uid="{2E259C4D-D979-46CD-9528-84BDB1F91B51}">
      <text>
        <r>
          <rPr>
            <sz val="16"/>
            <color indexed="81"/>
            <rFont val="Tahoma"/>
            <family val="2"/>
          </rPr>
          <t>This datapoint is only applicable for AMC
The value of assets under management means the value of assets in the portfolio as of as of end of the reference year.
Indicate the total value (EUR) of assets under management by country.</t>
        </r>
      </text>
    </comment>
    <comment ref="N5" authorId="0" shapeId="0" xr:uid="{15978D22-357F-4707-B3E5-DA26ADBD35BA}">
      <text>
        <r>
          <rPr>
            <sz val="16"/>
            <color indexed="81"/>
            <rFont val="Tahoma"/>
            <family val="2"/>
          </rPr>
          <t>This datapoint is only applicable for CI, PI and CASP.
Obliged reporting entities should refer to correspondent relationship definition provided for in Article 2(1)(22) AMLR.
Indicate the number of institutions established in foreign countries to whom you provide correspondent services (by country), as of end of the reference year.</t>
        </r>
      </text>
    </comment>
    <comment ref="O5" authorId="0" shapeId="0" xr:uid="{6E1A05E8-694E-4F6A-9793-F074524DCA7A}">
      <text>
        <r>
          <rPr>
            <sz val="16"/>
            <color indexed="81"/>
            <rFont val="Tahoma"/>
            <family val="2"/>
          </rPr>
          <t>This datapoint is only applicable for CI, PI and CASP.
Indicate the total value of incoming funds moved on behalf of the respondent's clients by country of respondent's establishment during the reference year.</t>
        </r>
      </text>
    </comment>
    <comment ref="P5" authorId="0" shapeId="0" xr:uid="{020D9A06-EA5C-46F2-8A4A-C4A26BD67A0C}">
      <text>
        <r>
          <rPr>
            <sz val="16"/>
            <color indexed="81"/>
            <rFont val="Tahoma"/>
            <family val="2"/>
          </rPr>
          <t>This datapoint is only applicable for CI, PI and CASP.
Indicate the total value of outgoing funds moved on behalf of the respondent's clients by country of respondent's establishment during the reference year.</t>
        </r>
      </text>
    </comment>
    <comment ref="Q5" authorId="0" shapeId="0" xr:uid="{A15F89A0-8B7D-4B51-94F9-FF382F200AD0}">
      <text>
        <r>
          <rPr>
            <sz val="16"/>
            <color indexed="81"/>
            <rFont val="Tahoma"/>
            <family val="2"/>
          </rPr>
          <t>This datapoint is applicable for all sectors.
In general, branches are establishments of an institution which is not a separate legal entity and which performs directly all or some activities of that credit or financial institution. This concept applies both to branches in a Member State other than that of establishment of the reporting obliged entity, as well as to branches established in third countries (in the latter case, based on the national law of the home Member State and the regulatory framework of the host third country), as of end of the reference year.
For the purpose of this reporting, only branches that are themselves obliged entities inside or outside the EU should be reported.
For CI’s, IF’s, AMC’s, and PI’s a reference to the respective regulations or directives are reported below:
1) For Credit Institutions, from the CRD (Directive 2013/36/EU):
"A branch of a credit institution means any establishment of a credit institution which is not a separate legal entity and which performs directly all or some of the activities of that credit institution".
2) For IFs, from MiFID II Article 4(1)(30):
“An investment firm’s branch means a place of business other than the head office which is part of an investment firm, has no legal personality, and which carries out some or all of the activities of that investment firm."
3) For AMC, Directive 2009/65/EC, Article 2(1)(g): ‘branch’ means a place of business which is a part of the management company, which has no legal personality and which provides the services for which the management company has been authorised";
4) For PIs, Directive 2015/2366/EU (PSD2), Article 4(1)(39):
“branch’ means a place of business other than the head office which is a part of a payment institution, which has no legal personality and which carries out directly some or all of the transactions inherent in the business of a payment institution; all of the places of business set up in the same Member State by a payment institution with a head office in another Member State shall be regarded as a single branch”;</t>
        </r>
      </text>
    </comment>
    <comment ref="R5" authorId="0" shapeId="0" xr:uid="{5B4B4A2E-E2E9-4E55-A30B-FF34936AF507}">
      <text>
        <r>
          <rPr>
            <sz val="16"/>
            <color indexed="81"/>
            <rFont val="Tahoma"/>
            <family val="2"/>
          </rPr>
          <t>This datapoint is applicable for all sectors.
For the purpose of this reporting, a subsidiary is an undertaking that is an obliged entity, inside or outside the EU, controlled by the reporting obliged entity and that is not a branch. Subsidiaries of such subsidiaries shall also be reported. As of end of the reference year.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86ED2BE4-4E67-42EE-9D07-9976D4313A0F}">
      <text>
        <r>
          <rPr>
            <sz val="16"/>
            <color indexed="81"/>
            <rFont val="Tahoma"/>
            <family val="2"/>
          </rPr>
          <t xml:space="preserve">Template Remarks
This template (cluster of datapoints) is applicable for all sectors (unless it is mentioned in the datapoint otherwise). 
</t>
        </r>
      </text>
    </comment>
    <comment ref="B5" authorId="0" shapeId="0" xr:uid="{107A5EB8-16D3-4FA5-B620-8ED5738A55D9}">
      <text>
        <r>
          <rPr>
            <sz val="16"/>
            <color indexed="81"/>
            <rFont val="Tahoma"/>
            <family val="2"/>
          </rPr>
          <t>Select the country using the ISO 3166-1 alpha-2 code.</t>
        </r>
      </text>
    </comment>
    <comment ref="C5" authorId="0" shapeId="0" xr:uid="{DDE11AC5-62AA-42D2-B830-F6B6E54CAD3F}">
      <text>
        <r>
          <rPr>
            <sz val="16"/>
            <color indexed="81"/>
            <rFont val="Tahoma"/>
            <family val="2"/>
          </rPr>
          <t>This datapoint is only applicable for EMI, PI and IF.
As of the end of the reference year.
For PI: An agent within the meaning of Article 4(38) of Directive (EU) 2015/2366 (a natural or legal person who acts on behalf of a payment institution in providing payment services).
For IF: Agents should be understood as ‘tied agents’.</t>
        </r>
      </text>
    </comment>
    <comment ref="D5" authorId="0" shapeId="0" xr:uid="{85F6D853-F2C0-4D22-B84E-FA7F450972D4}">
      <text>
        <r>
          <rPr>
            <sz val="16"/>
            <color indexed="81"/>
            <rFont val="Tahoma"/>
            <family val="2"/>
          </rPr>
          <t>This datapoint is only applicable for EMI.
As of the end of the reference year. Only to be reported by EMIs
Refers to Article 3(4) of the Directive 2009/110/EC (E-money Directive).</t>
        </r>
      </text>
    </comment>
    <comment ref="E5" authorId="0" shapeId="0" xr:uid="{B93930D5-0864-4ACB-9793-97BE8A813F9B}">
      <text>
        <r>
          <rPr>
            <sz val="16"/>
            <color indexed="81"/>
            <rFont val="Tahoma"/>
            <family val="2"/>
          </rPr>
          <t>This datapoint is only applicable for LI.
Broker: an intermediary who sells, solicits, or negotiates insurance on behalf of a client for compensation.
Indicate the total value of gross written premiums through insurance contracts issued through brokers during the reference year, broken down by country the brokers are established.</t>
        </r>
      </text>
    </comment>
    <comment ref="F5" authorId="0" shapeId="0" xr:uid="{E8FE20A7-CC03-49FB-8CB5-10CED8874E78}">
      <text>
        <r>
          <rPr>
            <sz val="16"/>
            <color indexed="81"/>
            <rFont val="Tahoma"/>
            <family val="2"/>
          </rPr>
          <t>This datapoint is only applicable for CI, EMI, PI, CASP and O.
White labelling partner that collaborates with a licensed reporting obliged entity to offer financial services under its own brand, without having a banking licence itself. While it presented the service to customers, the actual service is legally and operationally provided by the bank. The partner acts as an intermediary between the bank and the customers but not performing any regulated banking activities on its own. Intra-group companies should also be captured.
Indicate the number of white labelling partners at the end of the reference year by country of establishment.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057D19FA-3496-443D-8BFA-DCF68B4861D8}">
      <text>
        <r>
          <rPr>
            <sz val="16"/>
            <color indexed="81"/>
            <rFont val="Tahoma"/>
            <family val="2"/>
          </rPr>
          <t xml:space="preserve">For the purpose of this reporting, staff means all employees who work for the reporting obliged entity. Independent contractors, staff from another company withing the same group, consultants and external service providers should not be accounted for.
When a member of staff is only partially dedicated to the tasks to be reported, the reporting obliged entity should, to the extent reasonably feasible, report only the proportion of that staff member’s time that is allocated to the tasks in question.
Template Remarks
This template (cluster of datapoints) is applicable for all sectors. 
</t>
        </r>
      </text>
    </comment>
    <comment ref="B5" authorId="0" shapeId="0" xr:uid="{64F9BF78-C37C-45EF-B523-69155C05374B}">
      <text>
        <r>
          <rPr>
            <sz val="16"/>
            <color indexed="81"/>
            <rFont val="Tahoma"/>
            <family val="2"/>
          </rPr>
          <t>Indicate the date at which the procedures covering at least a significant part of the AML/CFT framework (including initial and ongoing CDD, transaction and business relationship monitoring, STR, and targeted financial sanction screening) were checked by the compliance functions as being in compliance with existing laws and regulations applicable at that date.
If you have more than one date, please use the most recent one.</t>
        </r>
      </text>
    </comment>
    <comment ref="C5" authorId="0" shapeId="0" xr:uid="{6E52D118-8B07-4F88-AF75-1C105EC09E78}">
      <text>
        <r>
          <rPr>
            <sz val="16"/>
            <color indexed="81"/>
            <rFont val="Tahoma"/>
            <family val="2"/>
          </rPr>
          <t>Indicate the number of dedicated AML/CFT compliance staff (in FTE) in the compliance function as of the end of the reference year. The number of FTEs could be reported with decimals places.
Staff mainly focused on AML/CFT compliance-related tasks. This should include at least:
the compliance officer appointed in accordance with Article 11 AMLR and all the staff assisting the compliance officer in the tasks defined in Article 11 AMLR.
staff responsible for carrying out the analysis mentioned in Article 69(2) AMLR and staff responsible for reporting suspicious transactions in accordance with Article 69 AMLR.
staff responsible for establishing and reviewing the internal policies and procedures mentioned in Article 9 AMLR.
all other staff specialising in AML/CFT compliance, including those who spend the majority of their time on tasks listed Article 20 AMLR.</t>
        </r>
      </text>
    </comment>
    <comment ref="D5" authorId="0" shapeId="0" xr:uid="{7DDCEF7D-DF09-4AD9-8EA0-DB183FD8D81C}">
      <text>
        <r>
          <rPr>
            <sz val="16"/>
            <color indexed="81"/>
            <rFont val="Tahoma"/>
            <family val="2"/>
          </rPr>
          <t>Indicate the percentage of AML/CFT compliance personnel (headcount) who have completed internal or external AML/CFT training during the reference year.
AML/CFT training: Structured education or instruction provided to employees to ensure they understand their legal obligations, institutional policies, and practical procedures for preventing and detecting money laundering and terrorist financing. Reference can be made to the training programmes as described in Article 12 AMLR.
AML/CFT Compliance personnel: Staff mainly focused on AML/CFT compliance-related tasks. This should include at least:
the compliance officer appointed in accordance with Article 11 AMLR and all the staff assisting the compliance officer in the tasks defined in Article 11 AMLR.
staff responsible for carrying out the analysis mentioned in Article 69(2) AMLR and staff responsible for reporting suspicious transactions in accordance with Article 69 AMLR.
staff responsible for establishing and reviewing the internal policies and procedures mentioned in Article 9 AMLR.
all other staff specialising in AML/CFT compliance, including those who spend the majority of their time on tasks listed Article 20 AMLR.</t>
        </r>
      </text>
    </comment>
    <comment ref="E5" authorId="0" shapeId="0" xr:uid="{4FFDCDD6-743C-42CC-91A9-7D6DD902245A}">
      <text>
        <r>
          <rPr>
            <sz val="16"/>
            <color indexed="81"/>
            <rFont val="Tahoma"/>
            <family val="2"/>
          </rPr>
          <t>Indicate the percentage of non-AML/CFT compliance personnel who have received AML/CFT training during the reference year.
AML/CFT training: Structured education or instruction provided to employees to ensure they understand their legal obligations, institutional policies, and practical procedures for preventing and detecting money laundering and terrorist financing. Reference can be made to the training programmes as described in Article 12 AMLR.
Non-AML/CFT specialist staff (e.g. customer facing staff): Other relevant staff, with no dedicated AML/CFT functions, who are involved in the performing of AML/CFT duties or perform functions that are relevant from an AML/CFT perspective. This includes, but is not limited to, all staff who are not AML Specialists but who have knowledge of customer and/or transaction information and who should be able to contribute to the detection of facts relevant to Article 69 AMLR (such as front-office staff), internal auditors and senior management.</t>
        </r>
      </text>
    </comment>
    <comment ref="F5" authorId="0" shapeId="0" xr:uid="{CD876F84-B5A8-4176-BC9B-690938C77BDB}">
      <text>
        <r>
          <rPr>
            <sz val="16"/>
            <color indexed="81"/>
            <rFont val="Tahoma"/>
            <family val="2"/>
          </rPr>
          <t>Indicate the percentage of Agents and Distributors who have received AML/CFT training during the reference year.
AML/CFT training: Structured education or instruction provided to employees to ensure they understand their legal obligations, institutional policies, and practical procedures for preventing and detecting money laundering and terrorist financing. Reference can be made to the training programmes as described in Article 12 AMLR.
Agents are intermediaries that are under the full responsibility of a credit or financial institution.
Distributors are legal or natural persons that can distribute and redeem electronic money pursuant to Article 3(4) of the E-Money Directive (Directive 2009/110/EC).</t>
        </r>
      </text>
    </comment>
    <comment ref="G5" authorId="0" shapeId="0" xr:uid="{4576FE32-1A75-4F20-A858-D3AA9AE1BA19}">
      <text>
        <r>
          <rPr>
            <sz val="16"/>
            <color indexed="81"/>
            <rFont val="Tahoma"/>
            <family val="2"/>
          </rPr>
          <t>Indicate the percentage of the Management Body (both in its management function and its supervisory function) who have received AML/CFT training during the reference year.
AML/CFT training: Structured education or instruction provided to employees to ensure they understand their legal obligations, institutional policies, and practical procedures for preventing and detecting money laundering and terrorist financing. Reference can be made to the training programmes as described in Article 12 AMLR.
For the purpose of this exercise, we refer here to the management body as defined in Article 2(1)(37) AMLR: ‘management body’ means an obliged entity’s body or bodies, which are appointed in accordance with national law, which are empowered to set the obliged entity’s strategy, objectives and overall direction, and which oversee and monitor management decision-making, and include the persons who effectively direct the business of the obliged entity; where no such body exists, the person who effectively directs the business of the obliged entity.</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3890D940-E5BF-4AE5-BE4A-A52C3060C259}">
      <text>
        <r>
          <rPr>
            <sz val="16"/>
            <color indexed="81"/>
            <rFont val="Tahoma"/>
            <family val="2"/>
          </rPr>
          <t xml:space="preserve">Template Remarks
This template (cluster of datapoints) is applicable for all sectors. 
Outsourcing: Reference can be made to Article 18 AMLR. Cases of services outsourced within the same group (intragroup outsourcing and shared services centers) must be accounted for. Processes or arrangements that contribute to the performance of a requirement under AMLR, but where the performance of the requirement itself is not carried out by a service provider, such as the use or acquisition of third-party software or the access to databases or screening services by the obliged entity, are not considered to be outsourcing (cf. Recital 47 AMLR).
</t>
        </r>
      </text>
    </comment>
    <comment ref="B5" authorId="0" shapeId="0" xr:uid="{4DA3E01D-B337-46B3-8845-3615CF82923D}">
      <text>
        <r>
          <rPr>
            <sz val="16"/>
            <color indexed="81"/>
            <rFont val="Tahoma"/>
            <family val="2"/>
          </rPr>
          <t>Frequency of reporting by the AML compliance officer/manager to the management body. If there are several reporting frequencies, please select the most frequent reporting interval.
Reporting activities as referred to in Article 11(6) AMLR.
The management body as defined in Article 2(1)(37) AMLR,
The compliance manager and officer as referred to in Article 11(1) and (2) AMLR.</t>
        </r>
      </text>
    </comment>
    <comment ref="C5" authorId="0" shapeId="0" xr:uid="{A70ED458-B59E-43B9-92B8-3D993B9C144C}">
      <text>
        <r>
          <rPr>
            <sz val="16"/>
            <color indexed="81"/>
            <rFont val="Tahoma"/>
            <family val="2"/>
          </rPr>
          <t>Indicate whether Customer Due Diligence (CDD) measures, as specified in Article 20 AMLR, are outsourced (in total or in part), or are not outsourced, by the reporting obliged entity during the reference year.</t>
        </r>
      </text>
    </comment>
    <comment ref="D5" authorId="0" shapeId="0" xr:uid="{B57700F4-6C02-47D8-935B-E16FF2F645F2}">
      <text>
        <r>
          <rPr>
            <sz val="16"/>
            <color indexed="81"/>
            <rFont val="Tahoma"/>
            <family val="2"/>
          </rPr>
          <t>Indicate whether AML/CFT training tasks are outsourced by the legal entity (in total or in part) or are not outsourced during the reference year. Reference can be made to the training programmes as described in Article 12 AMLR.</t>
        </r>
      </text>
    </comment>
    <comment ref="E5" authorId="0" shapeId="0" xr:uid="{C662ED92-3707-4123-B757-681075D8F69E}">
      <text>
        <r>
          <rPr>
            <sz val="16"/>
            <color indexed="81"/>
            <rFont val="Tahoma"/>
            <family val="2"/>
          </rPr>
          <t>Indicate whether Transaction Monitoring tasks are outsourced by the legal entity (in total or in part), or are not outsourced during the reference year.
TFS and other types screenings that are not used for the purpose of detection of unusual or suspicious transactions should not be considered as transaction monitoring.</t>
        </r>
      </text>
    </comment>
    <comment ref="F5" authorId="0" shapeId="0" xr:uid="{48F24BDC-AC79-4974-9802-BB32784537CC}">
      <text>
        <r>
          <rPr>
            <sz val="16"/>
            <color indexed="81"/>
            <rFont val="Tahoma"/>
            <family val="2"/>
          </rPr>
          <t>Indicate whether preparatory tasks to Suspicious Transaction or Activity Reports are outsourced by the legal entity (in total or in part), or are not outsourced during the reference year.</t>
        </r>
      </text>
    </comment>
    <comment ref="G5" authorId="0" shapeId="0" xr:uid="{C2B01069-4613-4910-94EC-E5454053FE74}">
      <text>
        <r>
          <rPr>
            <sz val="16"/>
            <color indexed="81"/>
            <rFont val="Tahoma"/>
            <family val="2"/>
          </rPr>
          <t>Indicate whether the screening of customers and counterparties for the implementation of targeted financial sanctions are outsourced by the legal entity (in total or in part), or are not outsourced during the reference year.</t>
        </r>
      </text>
    </comment>
    <comment ref="H5" authorId="0" shapeId="0" xr:uid="{CAE0FAF7-25FB-4D6A-BB2F-02AF99976ACE}">
      <text>
        <r>
          <rPr>
            <sz val="16"/>
            <color indexed="81"/>
            <rFont val="Tahoma"/>
            <family val="2"/>
          </rPr>
          <t>Indicate whether the process of determination of the Politically Exposed Person (PEP) status is outsourced by the reporting obliged entity (in total or in part), or are not outsourced during the reference year.</t>
        </r>
      </text>
    </comment>
    <comment ref="I5" authorId="0" shapeId="0" xr:uid="{08CD2782-E740-4F30-ABF0-2C1ED4253E3B}">
      <text>
        <r>
          <rPr>
            <sz val="16"/>
            <color indexed="81"/>
            <rFont val="Tahoma"/>
            <family val="2"/>
          </rPr>
          <t>Indicate whether compliance monitoring checks are outsourced by the reporting obliged entity (in total or in part), or are not outsourced, during the reference year.
Compliance Monitoring Checks: Refers to the internal controls and internal audit function that a firm should put in place to monitor and manage compliance with its internal policies and procedures (AMLR, Article 9(2)(a)(vii) and Article 9(2)(b)).</t>
        </r>
      </text>
    </comment>
    <comment ref="J5" authorId="0" shapeId="0" xr:uid="{31595740-18C9-41AF-8D8D-FCB7687E024E}">
      <text>
        <r>
          <rPr>
            <sz val="16"/>
            <color indexed="81"/>
            <rFont val="Tahoma"/>
            <family val="2"/>
          </rPr>
          <t>Indicate whether AML/CFT tasks reported under C0020 to C0080 are ultimately outsourced to an external service provider that is not part of the reporting obliged entity's group and located in a country outside the EEA during the reference year.</t>
        </r>
      </text>
    </comment>
    <comment ref="K5" authorId="0" shapeId="0" xr:uid="{43DB17C4-3A62-4A99-B761-E2868F9BC240}">
      <text>
        <r>
          <rPr>
            <sz val="16"/>
            <color indexed="81"/>
            <rFont val="Tahoma"/>
            <family val="2"/>
          </rPr>
          <t>Indicate whether AML/CFT tasks reported under C0020 to C0080 are outsourced to an external service provider that is part of the reporting obliged entity's group and located in a country outside the EEA during the reference year.</t>
        </r>
      </text>
    </comment>
    <comment ref="L5" authorId="0" shapeId="0" xr:uid="{A1A83D12-6AB1-4B18-8A5B-BC50E70572C7}">
      <text>
        <r>
          <rPr>
            <sz val="16"/>
            <color indexed="81"/>
            <rFont val="Tahoma"/>
            <family val="2"/>
          </rPr>
          <t>Date of the lastest internal audit report assessing the Business Wide Risk Assessment as referred to in Article 10 AMLR – including tests carried out by an external expert as referred to in Article 9(2)(b) AMLR in the absence of an independent audit function.
Indicate the audit report signing date if available or end of the audit period (report its start in case of an ongoing audit).</t>
        </r>
      </text>
    </comment>
    <comment ref="M5" authorId="0" shapeId="0" xr:uid="{82469D3E-DD29-4896-9D30-65A3F2FEA861}">
      <text>
        <r>
          <rPr>
            <sz val="16"/>
            <color indexed="81"/>
            <rFont val="Tahoma"/>
            <family val="2"/>
          </rPr>
          <t>Date of the lastest internal audit report assessing the policies and procedures for the determination of ML/TF risk profile of customers in a business relationship – including tests carried out by an external expert as referred to in Article 9(2)(b) AMLR in the absence of an independent audit function.
Indicate the audit report signing date if available or end of the audit period (report its start in case of an ongoing audit).</t>
        </r>
      </text>
    </comment>
    <comment ref="N5" authorId="0" shapeId="0" xr:uid="{E1F3F6B6-6441-4150-9AB6-9B15B79AD390}">
      <text>
        <r>
          <rPr>
            <sz val="16"/>
            <color indexed="81"/>
            <rFont val="Tahoma"/>
            <family val="2"/>
          </rPr>
          <t>Date of the lastest internal audit report assessing the AML/CFT‑related awareness‑raising and staff training measures – including tests carried out by an external expert as referred to in Article 9(2)(b) AMLR in the absence of an independent audit function.
Indicate the audit report signing date if available or end of the audit period (report its start in case of an ongoing audit).</t>
        </r>
      </text>
    </comment>
    <comment ref="O5" authorId="0" shapeId="0" xr:uid="{03F36619-C735-4241-996B-A7E4A73A490B}">
      <text>
        <r>
          <rPr>
            <sz val="16"/>
            <color indexed="81"/>
            <rFont val="Tahoma"/>
            <family val="2"/>
          </rPr>
          <t>Date of the lastest internal audit report assessing the identification and identity verification procedures – including tests carried out by an external expert as referred to in Article 9(2)(b) AMLR in the absence of an independent audit function.
Indicate the audit report signing date if available or at the end of the audit period (report its start in case of an ongoing audit).</t>
        </r>
      </text>
    </comment>
    <comment ref="P5" authorId="0" shapeId="0" xr:uid="{555315EB-B403-4EF2-809D-9BED1B086CD7}">
      <text>
        <r>
          <rPr>
            <sz val="16"/>
            <color indexed="81"/>
            <rFont val="Tahoma"/>
            <family val="2"/>
          </rPr>
          <t>Date of the lastest internal audit report assessing at least part of the policies and procedures for monitoring and analysing business relationships (including transaction monitoring) – including tests carried out by an external expert as referred to in Article 9(2)(b) AMLR in the absence of an independent audit function.
Indicate the audit report signing date if available or end of the audit period (report its start in case of an ongoing audit).</t>
        </r>
      </text>
    </comment>
    <comment ref="Q5" authorId="0" shapeId="0" xr:uid="{5E702CAE-9585-4C8D-8A94-F8A84A7E7F40}">
      <text>
        <r>
          <rPr>
            <sz val="16"/>
            <color indexed="81"/>
            <rFont val="Tahoma"/>
            <family val="2"/>
          </rPr>
          <t>Date of the latest internal audit report assessing the policies and procedures for suspicious transaction or activity reporting – including tests carried out by an external expert as referred to in Article 9(2)(b) AMLR in the absence of an independent audit function.
Indicate the audit report signing date if available or at the end of the audit period (report its start in case of an ongoing audit).</t>
        </r>
      </text>
    </comment>
    <comment ref="R5" authorId="0" shapeId="0" xr:uid="{449EB5CD-4E2A-4E9F-B6DD-B92117A14621}">
      <text>
        <r>
          <rPr>
            <sz val="16"/>
            <color indexed="81"/>
            <rFont val="Tahoma"/>
            <family val="2"/>
          </rPr>
          <t>Date of the lastest internal audit report assessing the record-keeping policies and procedures – including tests carried out by an external expert as referred to in Article 9(2)(b) AMLR in the absence of an independent audit function.
Indicate the audit report signing date if available or end of the audit period (report its start in case of an ongoing audit).</t>
        </r>
      </text>
    </comment>
    <comment ref="S5" authorId="0" shapeId="0" xr:uid="{9C13FA4D-A2DF-41A9-9D19-B7464284C52A}">
      <text>
        <r>
          <rPr>
            <sz val="16"/>
            <color indexed="81"/>
            <rFont val="Tahoma"/>
            <family val="2"/>
          </rPr>
          <t>Date of the lastest internal audit report assessing the human and material resources dedicated to AML/CFT – including tests carried out by an external expert as referred to in Article 9(2)(b) AMLR in the absence of an independent audit function.
Indicate the audit report signing date if available or at the end of the audit period (report its start in case of an ongoing audit).</t>
        </r>
      </text>
    </comment>
    <comment ref="T5" authorId="0" shapeId="0" xr:uid="{419D14EB-269E-4C45-AF35-A09AD146B71B}">
      <text>
        <r>
          <rPr>
            <sz val="16"/>
            <color indexed="81"/>
            <rFont val="Tahoma"/>
            <family val="2"/>
          </rPr>
          <t>Date of the lastest internal audit report assessing the organisation of the AML/CFT system, governance and reporting to management bodies – including tests carried out by an external expert as referred to in Article 9(2)(b) AMLR in the absence of an independent audit function.
Indicate the audit report signing date if available or end of the audit period (report its start in case of an ongoing audit).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152B9782-D963-44C7-A5E4-BCB9BDBF174A}">
      <text>
        <r>
          <rPr>
            <sz val="16"/>
            <color indexed="81"/>
            <rFont val="Tahoma"/>
            <family val="2"/>
          </rPr>
          <t xml:space="preserve">Template Remarks
This template (cluster of datapoints) is applicable for all sectors. 
Business Wide Risk Assessment (BWRA) as referred to in Article 10 AMLR. 
Customer Risk Assessment (CRA): Number of customers per ML/TF risk category are divided in four risk categories this exercise (low risk, medium-low risk, medium-high risk, high-risk)
In case an entity uses three risk categories 
Low risk -&gt; Low risk
Medium risk -&gt; Medium-low risk
High risk -&gt; High risk
In case an entity uses five risk categories 
Low risk -&gt; Low risk
Medium-low risk -&gt; Low risk
Medium-high risk -&gt; Medium-low risk
High risk -&gt; Medium-high risk
Ultra/very high risk -&gt; High risk
</t>
        </r>
      </text>
    </comment>
    <comment ref="B5" authorId="0" shapeId="0" xr:uid="{9839A219-9062-4D29-BFA5-0F71129A446B}">
      <text>
        <r>
          <rPr>
            <sz val="16"/>
            <color indexed="81"/>
            <rFont val="Tahoma"/>
            <family val="2"/>
          </rPr>
          <t>For this exercise, reference can be made to approval by the management body in its management function. Where such body exists reporting obliged entities should communicate the BWRA to the management body in its supervisory function in line with Article 10(2) AMLR.
Indicate the date of the last approval of the BWRA.</t>
        </r>
      </text>
    </comment>
    <comment ref="C5" authorId="0" shapeId="0" xr:uid="{FB1645AC-1BAB-46F8-B1A5-68985A37AF07}">
      <text>
        <r>
          <rPr>
            <sz val="16"/>
            <color indexed="81"/>
            <rFont val="Tahoma"/>
            <family val="2"/>
          </rPr>
          <t>For this exercise, reference can be made to approval by the management body in its management function. Where such body exists reporting obliged entities should communicate the BWRA to the management body in its supervisory function in line with Article 10(2) AMLR.
Indicate whether senior management has approved the last version of the BWRA.</t>
        </r>
      </text>
    </comment>
    <comment ref="D5" authorId="0" shapeId="0" xr:uid="{3F340FB8-09D7-4DA2-BB7D-76C7AC0D95A0}">
      <text>
        <r>
          <rPr>
            <sz val="16"/>
            <color indexed="81"/>
            <rFont val="Tahoma"/>
            <family val="2"/>
          </rPr>
          <t>The update refers to the CRA methodology and not to the update of each customer risk score. Minor adjustments do not count as updates. In case of outsourcing to third parties, report the date of the third party's last CRA update.</t>
        </r>
      </text>
    </comment>
    <comment ref="E5" authorId="0" shapeId="0" xr:uid="{37965A87-B1C1-41DB-800A-D7351A724B08}">
      <text>
        <r>
          <rPr>
            <sz val="16"/>
            <color indexed="81"/>
            <rFont val="Tahoma"/>
            <family val="2"/>
          </rPr>
          <t>Number of customers classified as low risk according to the CRA methodology, as of the end of the reference year.</t>
        </r>
      </text>
    </comment>
    <comment ref="F5" authorId="0" shapeId="0" xr:uid="{32116FE9-A6E2-404F-ACED-A9EADBE7ACAC}">
      <text>
        <r>
          <rPr>
            <sz val="16"/>
            <color indexed="81"/>
            <rFont val="Tahoma"/>
            <family val="2"/>
          </rPr>
          <t>Indicate the number of customers classified as medium-low risk according to the CRA methodology, as of the end of the reference year.</t>
        </r>
      </text>
    </comment>
    <comment ref="G5" authorId="0" shapeId="0" xr:uid="{493CFA5F-58CE-4C5E-81DC-3F9F0D3112A9}">
      <text>
        <r>
          <rPr>
            <sz val="16"/>
            <color indexed="81"/>
            <rFont val="Tahoma"/>
            <family val="2"/>
          </rPr>
          <t>Indicate the number of customers classified as medium- high risk according to the CRA methodology, as of the end of the reference year.</t>
        </r>
      </text>
    </comment>
    <comment ref="H5" authorId="0" shapeId="0" xr:uid="{3BFBA79D-9758-4933-82A5-A3FB149CE7C4}">
      <text>
        <r>
          <rPr>
            <sz val="16"/>
            <color indexed="81"/>
            <rFont val="Tahoma"/>
            <family val="2"/>
          </rPr>
          <t>Indicate the number of customers classified as high risk according to the CRA methodology, as of the end of the reference year.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5447C6A7-ED4D-49F8-9728-07BC22A53D80}">
      <text>
        <r>
          <rPr>
            <sz val="16"/>
            <color indexed="81"/>
            <rFont val="Tahoma"/>
            <family val="2"/>
          </rPr>
          <t xml:space="preserve">Template Remarks
This template (cluster of datapoints) is applicable for all sectors. 
Please refer to the definition of a customer and transaction provided in the annex.
</t>
        </r>
      </text>
    </comment>
    <comment ref="B5" authorId="0" shapeId="0" xr:uid="{F7A616E4-3CAC-47D7-8740-0AAE437D4EE0}">
      <text>
        <r>
          <rPr>
            <sz val="16"/>
            <color indexed="81"/>
            <rFont val="Tahoma"/>
            <family val="2"/>
          </rPr>
          <t>Indicate the number of customers that are legal entities, legal arrangements or trusts whose beneficial owners have not been identified, as of the end of the reference year.
As per Article 2(1)(28) AMLR, ‘beneficial owner’ means “any natural person who ultimately owns or controls a legal entity or an express trust or similar legal arrangement”.
As per recital 125 AMLR, senior managing officials (SMOs) reported instead of the beneficial owners where no natural person is identifiable who ultimately owns or exerts control over an entity (as per Article 22(2) AMLR) are not beneficial owners, and shall not be counted for the purpose of reporting this datapoint.
Beneficial owners identified through consultation of public registers or other reliable national systems that contain the necessary information shall be counted as being identified for the purpose of reporting this datapoint.
In case a legal arrangement or trust has several BOs not all of which have been identified, it shall be reported as “BO not identified” for the purpose of this datapoint.</t>
        </r>
      </text>
    </comment>
    <comment ref="C5" authorId="0" shapeId="0" xr:uid="{0CAD661D-E04F-4A91-A343-8532ECF2BC02}">
      <text>
        <r>
          <rPr>
            <sz val="16"/>
            <color indexed="81"/>
            <rFont val="Tahoma"/>
            <family val="2"/>
          </rPr>
          <t>Indicate the number of customers that are legal entities, legal arrangements or trusts whose beneficial owners have been identified but the identity of whom has not been verified, as of the end of the reference year.
As per Article 2(1)(28) AMLR, ‘beneficial owner’ means “any natural person who ultimately owns or controls a legal entity or an express trust or similar legal arrangement”.
For the purposes of this data point, “verified” means that the reporting obliged entity has taken reasonable measures to verify the identity of the beneficial owner, using reliable documents, data or information, in accordance with Article 20(1)(b) and Article 22 AMLR. This includes consultation of the central register(s) as an additional verification step, in accordance with Article 22(7) AMLR.
Accordingly, this data point should include customers where the beneficial owner(s) have been identified, but the reporting obliged entity has not yet completed the verification of the beneficial owner’s identity in line with the above requirements, as of the end of the reference year.
For the purposes of this data point, senior managing officials (SMOs) reported in place of the beneficial owners in circumstances where no natural person is identifiable as ultimately owning or exercising control over an entity (in accordance with Article 22(2) AMLR) shall not be treated as beneficial owners and shall not be counted under this datapoint. This is consistent with Recital 125 AMLR.</t>
        </r>
      </text>
    </comment>
    <comment ref="D5" authorId="0" shapeId="0" xr:uid="{ABD5E20A-9698-4037-8BAC-DADF45A971AC}">
      <text>
        <r>
          <rPr>
            <sz val="16"/>
            <color indexed="81"/>
            <rFont val="Tahoma"/>
            <family val="2"/>
          </rPr>
          <t>Indicate the number of customers (both natural and legal persons) for which no identity document (or equivalent document or non-face-to-face measure) is recorded as of the end of the reference year.
This includes:
Out-of-date identity documents (or equivalent document or non-face-to-face masure)
Identity documents (or equivalent) for which the recorded copy has been found to be unreadable or otherwise corrupted</t>
        </r>
      </text>
    </comment>
    <comment ref="E5" authorId="0" shapeId="0" xr:uid="{DD1C7A6A-7476-4280-8159-D33ECFE431BA}">
      <text>
        <r>
          <rPr>
            <sz val="16"/>
            <color indexed="81"/>
            <rFont val="Tahoma"/>
            <family val="2"/>
          </rPr>
          <t>Indicate the number of customers (both natural and legal persons) whose CDD data and information is not yet in line with the requirements of Article 20 AMLR as listed in Section B of Annex I, as of the end of the reference year.
Be aware that this data points shall not be used for the purpose of the first selection process referred to in Article 13(4) of AMLAR (the selection data collection in 2027).</t>
        </r>
      </text>
    </comment>
    <comment ref="F5" authorId="0" shapeId="0" xr:uid="{20D44566-46E4-4399-AE59-7E6B2F44E37B}">
      <text>
        <r>
          <rPr>
            <sz val="16"/>
            <color indexed="81"/>
            <rFont val="Tahoma"/>
            <family val="2"/>
          </rPr>
          <t>Indicate the number of customers (both natural and legal persons) without ML/TF risk profile (excluding customers with whom the reporting obliged entity does not have a business relationship), as of the end of the reference year.</t>
        </r>
      </text>
    </comment>
    <comment ref="G5" authorId="0" shapeId="0" xr:uid="{36233DD7-4445-420C-87AA-919412E7B2B6}">
      <text>
        <r>
          <rPr>
            <sz val="16"/>
            <color indexed="81"/>
            <rFont val="Tahoma"/>
            <family val="2"/>
          </rPr>
          <t>Indicate the number of customers (both natural persons and legal entities) for whom a review of customer information was due, in accordance with the reporting obliged entity's AML/CFT policies and procedures regarding ongoing monitoring obligations, during the reference year.
For the purposes of this exercise, and in accordance with Article 26(2)-(3) AMLR, this data point should capture both periodic (risk-based) reviews and event-driven reviews/updates triggered by relevant changes or newly acquired relevant information.</t>
        </r>
      </text>
    </comment>
    <comment ref="H5" authorId="0" shapeId="0" xr:uid="{26B841C6-285C-4CB5-81C8-D8C9EFD05736}">
      <text>
        <r>
          <rPr>
            <sz val="16"/>
            <color indexed="81"/>
            <rFont val="Tahoma"/>
            <family val="2"/>
          </rPr>
          <t>Indicate the number of customers (both natural persons and legal entities) for whom a review of customer information was due during the reference year (as per data point C0060 above), in accordance with the reporting obliged entity’s AML/CFT policies and procedures regarding ongoing monitoring obligations, and whose information was effectively reviewed and, where relevant, updated during the reference year.
For the purposes of this exercise, and in accordance with Article 26(2)-(3) AMLR, this data point should capture both periodic (risk-based) reviews and event-driven reviews/updates triggered by relevant changes or newly acquired relevant information.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6564666C-CB2D-4917-84B8-7AA95220371F}">
      <text>
        <r>
          <rPr>
            <sz val="16"/>
            <color indexed="81"/>
            <rFont val="Tahoma"/>
            <family val="2"/>
          </rPr>
          <t xml:space="preserve">Template Remarks
This template (cluster of datapoints) is applicable for all sectors (unless otherwise mentioned in the definition of the datapoint). 
In the RTS the datapoints from C0020 to C0050 are required per country (see also mapping in Annex 1). These datapoints are moved to the Geography template (AML.05.01). For the purpose of completeness, these datapoints are mentioned in this template as well, but now as totals within an obliged entity. 
</t>
        </r>
      </text>
    </comment>
    <comment ref="B5" authorId="0" shapeId="0" xr:uid="{DC1BE40B-04BC-4EBC-A239-015BF325014F}">
      <text>
        <r>
          <rPr>
            <sz val="16"/>
            <color indexed="81"/>
            <rFont val="Tahoma"/>
            <family val="2"/>
          </rPr>
          <t>Indicate number of customers as of end of the reference year. See the definition of customer in the Annex.
‘Walk-in customers’ should be excluded (see C0120) from this datapoint for the purpose of this testing exercise.</t>
        </r>
      </text>
    </comment>
    <comment ref="C5" authorId="0" shapeId="0" xr:uid="{D7A50642-636E-4F0D-8D51-75336B249091}">
      <text>
        <r>
          <rPr>
            <sz val="16"/>
            <color indexed="81"/>
            <rFont val="Tahoma"/>
            <family val="2"/>
          </rPr>
          <t>Total of Natural Persons customers, as of end of the reference year.
Clients can be treated as natural persons unless they are legally registered as a Legal Entity. This refers to amongst others freelancers/self-employed/sole proprietorships without LE status etc.</t>
        </r>
      </text>
    </comment>
    <comment ref="D5" authorId="0" shapeId="0" xr:uid="{A58679D9-9C43-4184-BA69-259997493ED8}">
      <text>
        <r>
          <rPr>
            <sz val="16"/>
            <color indexed="81"/>
            <rFont val="Tahoma"/>
            <family val="2"/>
          </rPr>
          <t>Total of Legal Entities Customers, as of end of the reference year.
For the purpose of this data collection exercise, a Legal Entity customer is an entity that has legal personality, granting it legal rights and obligations, for example the ability to enter into contracts. This therefore also includes (but is not limited to) express trust and similar legal arrangements.
Legal entities in the same corporate group and connected legal entities (constructed relationships) should be counted separately.</t>
        </r>
      </text>
    </comment>
    <comment ref="E5" authorId="0" shapeId="0" xr:uid="{6E055DD1-3A40-4043-AB49-FC813C342A8B}">
      <text>
        <r>
          <rPr>
            <sz val="16"/>
            <color indexed="81"/>
            <rFont val="Tahoma"/>
            <family val="2"/>
          </rPr>
          <t>Total of Natural Person customers who are identified as: (i) politically exposed persons (PEPs), (ii) family members of PEPs, or (iii) persons known to be close associates of PEPs, as of end of the reference year.
See the definition of ‘PEP’, ‘family member’, and ‘person known to be close associate’ in Annex 2.</t>
        </r>
      </text>
    </comment>
    <comment ref="F5" authorId="0" shapeId="0" xr:uid="{3C572EA1-E8C7-4B2F-8437-83FE2BC79BD3}">
      <text>
        <r>
          <rPr>
            <sz val="16"/>
            <color indexed="81"/>
            <rFont val="Tahoma"/>
            <family val="2"/>
          </rPr>
          <t>Total of Legal Entity (LE) customers whose Beneficial Owners (BOs) include at least one politically exposed person (PEP), a family member of a PEP, or a person known to be a close associate of a PEP, as of end of the reference year.
See the definition of ‘PEP’, ‘family member’, and ‘person known to be close associate’ in Annex 2.
BO means any natural person who ultimately owns or controls a legal entity or an express trust or similar legal arrangement, as defined in Article 2(1), point (28), AMLR.
As per recital 125 AMLR, senior managing officials (SMOs) reported instead of the beneficial owners where no natural person is identifiable who ultimately owns or exerts control over an entity (as per Article 22(2) AMLR) are not beneficial owners, and shall not be counted for the purpose of reporting this datapoint.</t>
        </r>
      </text>
    </comment>
    <comment ref="G5" authorId="0" shapeId="0" xr:uid="{FD686C74-BF60-4B42-AA45-4885628A39B5}">
      <text>
        <r>
          <rPr>
            <sz val="16"/>
            <color indexed="81"/>
            <rFont val="Tahoma"/>
            <family val="2"/>
          </rPr>
          <t>This datapoint is not applicable for LI
Covers all customers (NP and LE) at the reference date who have initiated at least one transaction or instruction during the reference year.
Such customers should only be counted once, irrespective of the number of transactions or instructions they have initiated.
Non-executed transactions that have been initiated by the customer (mere instructions) should be counted for the purpose of reporting this datapoint.
For the definition of transaction, see Annex 2</t>
        </r>
      </text>
    </comment>
    <comment ref="H5" authorId="0" shapeId="0" xr:uid="{7297F7F2-B619-4CCE-98A8-141BBEC17F71}">
      <text>
        <r>
          <rPr>
            <sz val="16"/>
            <color indexed="81"/>
            <rFont val="Tahoma"/>
            <family val="2"/>
          </rPr>
          <t>Natural persons and legal persons who completed the onboarding process with the reporting obliged entity during the reference year, irrespective of the existence of any transactions.
Indicative (non-exhaustive) list of cases that should be included in the reported data:
Customers onboarded during the reference year with whom the reporting obliged entity also terminated its business relationship during the reference year.
Customers onboarded via agents or intermediaries.
Customers who had terminated their business relationship before or during the reference year and are re-onboarded as a customer during the reference year.
Customers transferred from other entities in the same group.
Customers acquired via portfolio transfers or mergers onboarded during the reference year.
Indicative (non-exhaustive) list of cases that should typically not be included in the reported data:
Subscription of new products during the reference year by customers already onboarded before the start of the reference year.
Dormant accounts reactivated during the reference year.
Change in legal form of an existing legal person customer (continuing business relationship).</t>
        </r>
      </text>
    </comment>
    <comment ref="I5" authorId="0" shapeId="0" xr:uid="{53BEC184-752B-48BE-984D-9D2D3A5764BD}">
      <text>
        <r>
          <rPr>
            <sz val="16"/>
            <color indexed="81"/>
            <rFont val="Tahoma"/>
            <family val="2"/>
          </rPr>
          <t>This datapoint is not applicable for BC, IF and AMC.
The customer enters into a business relationship with the firm in a non-face-to-face manner. Third party onboarding counts as ‘remote onboarding’ where the customer enters into a relationship in a non-face-to-face manner.
In case of multiple legal representatives using mixed methods, if the business relationship is not fully entered in a face-to-face manner, it counts as remote.
Indicate the number of new customers onboarded remotely during the reference year.</t>
        </r>
      </text>
    </comment>
    <comment ref="J5" authorId="0" shapeId="0" xr:uid="{CBCA032B-EBC7-4B3B-949E-5EC9ED984EAB}">
      <text>
        <r>
          <rPr>
            <sz val="16"/>
            <color indexed="81"/>
            <rFont val="Tahoma"/>
            <family val="2"/>
          </rPr>
          <t>This datapoint is not applicable for BC, IF and AMC.
The customer is introduced by a third party (supervised or not supervised) which conducts in full or in parts the CDD arrangements.
Indicate the number of new customers onboarded during the reference year by third parties.</t>
        </r>
      </text>
    </comment>
    <comment ref="K5" authorId="0" shapeId="0" xr:uid="{CD33578F-4873-416D-8522-ACEDA6D895EF}">
      <text>
        <r>
          <rPr>
            <sz val="16"/>
            <color indexed="81"/>
            <rFont val="Tahoma"/>
            <family val="2"/>
          </rPr>
          <t>This datapoint is not applicable for BC, IF and AMC.
Indicate the number of customers onboarded during the reference year by third parties not directly subject to AML/CFT supervision.</t>
        </r>
      </text>
    </comment>
    <comment ref="L5" authorId="0" shapeId="0" xr:uid="{EB532EB3-E480-48BA-AB0F-F3D5356C3AEB}">
      <text>
        <r>
          <rPr>
            <sz val="16"/>
            <color indexed="81"/>
            <rFont val="Tahoma"/>
            <family val="2"/>
          </rPr>
          <t>This datapoint is not applicable for BC.
Total of Legal Entity customers that are classified as having or forming part of a complex structure, as of end of the reference year.
See the definition of ‘complex structure’ in Annex 2.
For CASPs’ customers this data point should also capture legal entities where the ownership or control structure over crypto-assets or wallets is exercised through crypto-assets specific arrangements (e.g., the use of wallet intermediaries, private-key or smart-contract-based control mechanisms mandates or comparable arrangements), particularly where these contribute to the complexity or reduced transparency of the structure.</t>
        </r>
      </text>
    </comment>
    <comment ref="M5" authorId="0" shapeId="0" xr:uid="{823D793C-D729-49F9-8036-8700ADF10B14}">
      <text>
        <r>
          <rPr>
            <sz val="16"/>
            <color indexed="81"/>
            <rFont val="Tahoma"/>
            <family val="2"/>
          </rPr>
          <t>As of end of the reference year.
A ‘high-risk activity’ should include, at least, the activities mentioned under Annex III of AMLR :
(1) Customer risk factors:
the business relationship or occasional transaction is conducted in unusual circumstances;
customers that are resident in geographical areas of higher risk as set out in point (3);
legal persons or legal arrangements that are personal asset-holding vehicles;
corporate entities that have nominee shareholders or shares in bearer form;
businesses that are cash-intensive;
the ownership structure of the company appears unusual or excessively complex given the nature of the company’s business;
customer is a third-country national who applies for residence rights in a Member State in exchange of any kind of investment, including capital transfers, purchase or renting of property, investment in government bonds,
investment in corporate entities, donation or endowment of an activity contributing to the public good and contributions to the state budget;
customer is a legal entity or arrangement created or set up in a jurisdiction in which it has no real economic activity;
substantial economic presence or apparent economic rationale;
customer is directly or indirectly owned by one or several entities or arrangements under point (h);
(2) Product, service, transaction or delivery channel risk factors:
private banking;
products or transactions that might favour anonymity;
payment received from unknown or unassociated third parties;
new products and new business practices, including new delivery mechanism, and the use of new or developing technologies for both new and pre-existing products;
transactions related to oil, arms, precious metals or stones, tobacco products, cultural artefacts and other items of archaeological, historical, cultural and religious importance, or of rare scientific value, as well as ivory and protected species;
(3) Geographical risk factors:
third countries subject to increased monitoring or otherwise identified by the FATF due to the compliance weaknesses in their AML/CFT systems;
third countries identified by credible sources/acknowledged processes, such as mutual evaluations, detailed assessment reports or published follow-up reports, as not having effective AML/CFT systems;
third countries identified by credible sources/acknowledged processes as having significant levels of corruption or other criminal activity.
Indicate number of customers with at least one high-risk activity during the reference year.
Some of the above risk-factors are not found in Annex III of the currently applicable AML Directive (Directive (EU) 2015/849 as subsequently amended) and may therefore be new to obliged entities. Where this is the case, obliged entities are nevertheless invited to provide information on this datapoint on a best effort basis.</t>
        </r>
      </text>
    </comment>
    <comment ref="N5" authorId="0" shapeId="0" xr:uid="{2C3A72FA-55F5-40F4-B966-CC1303A91890}">
      <text>
        <r>
          <rPr>
            <sz val="16"/>
            <color indexed="81"/>
            <rFont val="Tahoma"/>
            <family val="2"/>
          </rPr>
          <t>This datapoint is not applicable for BC.
Legal person customers with at least one beneficial owner resident in a non-EEA country, as of end of the reference year.
In known cases of dual residency (EEA and non-EEA), report the residence of the non-EEA country. In known cases where a BO holds residences in several non-EEA countries, report the usual place of residence as per CDD records or (if registered) the residence in the country with the highest AML/CFT risk (according to the EU list of high-risk third countries and the FTAF lists). These instructions apply irrespective of any distinction between temporary or permanent residences.
As per Article 2(1)(28) AMLR, ‘beneficial owner’ means “any natural person who ultimately owns or controls a legal entity or an express trust or similar legal arrangement”.
As per recital 125 AMLR, senior managing officials (SMOs) reported instead of the beneficial owners where no natural person is identifiable who ultimately owns or exerts control over an entity (as per Article 22(2) AMLR) are not beneficial owners, and shall not be counted for the purpose of reporting this datapoint.</t>
        </r>
      </text>
    </comment>
    <comment ref="O5" authorId="0" shapeId="0" xr:uid="{874254FF-D5D4-4A27-9B20-F462932DE16F}">
      <text>
        <r>
          <rPr>
            <sz val="16"/>
            <color indexed="81"/>
            <rFont val="Tahoma"/>
            <family val="2"/>
          </rPr>
          <t>Customers with at least one (individual) transaction over EUR 250 from/to a non-EEA country during the reference year (initiation by either the customer or the counterparty).
In the context of this data collection Non-EEA countries refer to the counterparty’s account location (country). For clarity, this includes also non-EEA countries in the SEPA zone.
For LI: Gross premiums written/claims received/paid from/to non-EEA countries, if different from the country of residence of the policyholder.
For CASPs: Customers with cross-border activity involving non-EEA countries should be identified based on customer-initiated transactions or instructions that, within the scope of the services provided, involve counterparties, wallets, service providers or fiat on- or off-ramps associated with non-EEA jurisdictions, as identified through customer due diligence, onboarding or any other information obtained in the ordinary course of business.
For the purposes of this data point, such exposure may exist irrespective of whether a fiat transfer occurs and without requiring the conversion of crypto-asset movements into a EUR equivalent. Where fiat transfers are involved, the EUR 250 threshold applies. Where no fiat leg exists, the presence of non-EEA countries directional exposure should be reported irrespective of value. Each customer should be counted once if at least one such transaction or instruction occurred during the reference year.</t>
        </r>
      </text>
    </comment>
    <comment ref="P5" authorId="0" shapeId="0" xr:uid="{637D1948-1796-421C-B2EA-92DBE1B8E829}">
      <text>
        <r>
          <rPr>
            <sz val="16"/>
            <color indexed="81"/>
            <rFont val="Tahoma"/>
            <family val="2"/>
          </rPr>
          <t>This data point is not applicable for CP, LI, IF, AMC and O.
Natural or legal person who conducted at least one occasional transaction during the reference year and have not entered into a business relationship with the obliged entity during the reference year.
For the purpose of this data collection exercise an occasional transaction means a transaction or a provision of services connected to a transaction that is not carried out as part of a business relationship as defined in Article 2(1)(19) AMLR. For the purpose of this data collection exercise, the applicable thresholds defined in Article 19 AMLR are to be referred to for identifying ‘walk-in customers’ who conducted at least one occasional transactions.</t>
        </r>
      </text>
    </comment>
    <comment ref="Q5" authorId="0" shapeId="0" xr:uid="{4CAE841E-FEAE-4D30-8E5E-D17E4F3E79B3}">
      <text>
        <r>
          <rPr>
            <sz val="16"/>
            <color indexed="81"/>
            <rFont val="Tahoma"/>
            <family val="2"/>
          </rPr>
          <t>This data point is not applicable for CP, LI, IF, AMC and O.
This information should refer to the number of occasional transactions carried out by walk-in customers during the reference year.
For the purpose of this data collection exercise an occasional transaction means a transaction or a provision of services connected to a transaction that is not carried out as part of a business relationship as defined in Article 2(1)(19) AMLR. For the purpose of this data collection exercise, the applicable thresholds defined in Article 19 AMLR are to be referred to for counting occasional transactions.</t>
        </r>
      </text>
    </comment>
    <comment ref="R5" authorId="0" shapeId="0" xr:uid="{C49404F7-EEB2-4C42-8241-711EC816D652}">
      <text>
        <r>
          <rPr>
            <sz val="16"/>
            <color indexed="81"/>
            <rFont val="Tahoma"/>
            <family val="2"/>
          </rPr>
          <t>The FIU is the Finance Intelligence Unit of the respective country where the Obliged Entity operates or, when the Obliged Entity operates through the freedom to provide services, where its registered office is located or, if the obliged entity has no registered office, the Member State in which its head office is located. Reference to these requests can be found in article 69(1)(b) AMLR.
This information should refer to the total number of customers with a least one formal or informal self-standing (i.e. not related to an incomplete STR) request from FIUs during the reference year, even if the customer is not a customer/active anymore at the end of the reference year.
In case its implementation is complex, you can consider ‘number of customers subject to requests for information from FIU’.</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8E9D2106-D5A9-4CAD-9ADE-90C5CA73DF3D}">
      <text>
        <r>
          <rPr>
            <sz val="16"/>
            <color indexed="81"/>
            <rFont val="Tahoma"/>
            <family val="2"/>
          </rPr>
          <t xml:space="preserve">Template Remarks
This template (cluster of datapoints) is applicable for all sectors (unless it is mentioned in the datapoint otherwise). 
A transaction monitoring system is a system used by the obliged entity to ensure compliance with its obligation to conduct ongoing monitoring of transactions and other relevant activities, including situations where obliged entities do not process transactions or have limited transaction visibility performed by the customer throughout the course of a business relationship in accordance with Article 26 AMLR.
</t>
        </r>
      </text>
    </comment>
    <comment ref="B5" authorId="0" shapeId="0" xr:uid="{D241FD7F-167D-4FB8-8E3A-CE8F3BDDC794}">
      <text>
        <r>
          <rPr>
            <sz val="16"/>
            <color indexed="81"/>
            <rFont val="Tahoma"/>
            <family val="2"/>
          </rPr>
          <t>Indicate whether the reporting obliged entity conducts ongoing monitoring business relationships, including transactions undertaken by the customer throughout the course of a business relationship, as required by Article 26 AMLR. This can be automated or manual, and outsourced.</t>
        </r>
      </text>
    </comment>
    <comment ref="C5" authorId="0" shapeId="0" xr:uid="{FFC023A0-C366-48B6-BE80-05460AE91186}">
      <text>
        <r>
          <rPr>
            <sz val="16"/>
            <color indexed="81"/>
            <rFont val="Tahoma"/>
            <family val="2"/>
          </rPr>
          <t>Indicate whether the transaction/activity monitoring system is:_x000B__x000B_a) Not automated; a system where alerts are generated manually in order to identify transactions/activities carried out by customers that could potentially be suspicious from an AML/CFT perspective.
b) At least partially automated: a system that, as a minimum, automatically generates alerts in order to identify transactions/activities carried out by customers that could potentially be suspicious from an AML/CFT perspective.</t>
        </r>
      </text>
    </comment>
    <comment ref="D5" authorId="0" shapeId="0" xr:uid="{41FAF3EE-F92B-47E5-B2E0-FFC2F08D4CC5}">
      <text>
        <r>
          <rPr>
            <sz val="16"/>
            <color indexed="81"/>
            <rFont val="Tahoma"/>
            <family val="2"/>
          </rPr>
          <t>Indicate the average number of calendar days between the moment in which the transaction occurred and completion of the analysis.
For obliged reporting entities using event-driven monitoring analysis, the reported timeframe should reflect the time from when the activity became available to the entity for review to the completion of the analysis.</t>
        </r>
      </text>
    </comment>
    <comment ref="E5" authorId="0" shapeId="0" xr:uid="{B67B1653-E8A9-4613-A54F-2994529E0625}">
      <text>
        <r>
          <rPr>
            <sz val="16"/>
            <color indexed="81"/>
            <rFont val="Tahoma"/>
            <family val="2"/>
          </rPr>
          <t>If the transaction monitoring system is at least partly automated, indicate whether the system can generate alerts in case of inconsistencies between the expected activity of the customer (as per the purpose and intended nature of the business relationship and any other relevant information feeding the customer profile, such as CDD) and the Number of Transactions related to the customer within the monitoring period applied in the entity’s monitoring framework.</t>
        </r>
      </text>
    </comment>
    <comment ref="F5" authorId="0" shapeId="0" xr:uid="{8A4D90E6-9F38-4A9F-85B5-857A56176C30}">
      <text>
        <r>
          <rPr>
            <sz val="16"/>
            <color indexed="81"/>
            <rFont val="Tahoma"/>
            <family val="2"/>
          </rPr>
          <t>If the transaction monitoring system is at least partly automated, indicate whether the system can generate alerts in case of inconsistencies between the expected activity of the customer (as per the purpose and intended nature of the business relationship and any other relevant information feeding the customer profile, such as CDD) and the Value of Aggregated Transactions attributed to the customer within the monitoring period applied in the entity’s monitoring framework.</t>
        </r>
      </text>
    </comment>
    <comment ref="G5" authorId="0" shapeId="0" xr:uid="{5B84847A-258D-421B-8E08-CC5EE68DC5D2}">
      <text>
        <r>
          <rPr>
            <sz val="16"/>
            <color indexed="81"/>
            <rFont val="Tahoma"/>
            <family val="2"/>
          </rPr>
          <t>If the transaction monitoring system is at least partly automated, indicate whether the system can generate alerts in case of inconsistencies between the expected activity of the customer (as per the purpose and intended nature of the business relationship and any other relevant information feeding the customer profile, such as CDD) and the Value of Single Transactions related to the customer.</t>
        </r>
      </text>
    </comment>
    <comment ref="H5" authorId="0" shapeId="0" xr:uid="{0408107A-C0A6-409B-92F6-62D4B22E3431}">
      <text>
        <r>
          <rPr>
            <sz val="16"/>
            <color indexed="81"/>
            <rFont val="Tahoma"/>
            <family val="2"/>
          </rPr>
          <t>If the transaction monitoring system is at least partly automated, indicate whether the system can generate alerts in case of inconsistencies between the expected activity of the customer (as per the purpose and intended nature of the business relationship and any other relevant information feeding the customer profile, such as CDD) and the Value of Aggregated Transactions within the monitoring period applied in the entity’s monitoring framework.
For the purposes of this datapoint, “counterparties” refers to the other party or parties to a transaction attributed to the customer as captured in the entity’s monitoring framework.</t>
        </r>
      </text>
    </comment>
    <comment ref="I5" authorId="0" shapeId="0" xr:uid="{6E8EE04F-8C05-48C4-8B4D-2FC30CF5B277}">
      <text>
        <r>
          <rPr>
            <sz val="16"/>
            <color indexed="81"/>
            <rFont val="Tahoma"/>
            <family val="2"/>
          </rPr>
          <t>If the transaction monitoring system is at least partly automated, indicate whether the system can generate alerts in case of inconsistencies between the expected activity of the customer (as per the purpose and intended nature of the business relationship and any other relevant information feeding the customer profile, such as CDD) and the Value of Aggregated Transactions attributed to the customer.
For the purposes of this datapoint, “countries” refers to the geographic indicators captured in the entity’s monitoring framework, such as the origin or destination of funds or the location of a counterparty’s account.</t>
        </r>
      </text>
    </comment>
    <comment ref="J5" authorId="0" shapeId="0" xr:uid="{A885AAAB-D2A7-4136-AD7B-5F048D2FBD69}">
      <text>
        <r>
          <rPr>
            <sz val="16"/>
            <color indexed="81"/>
            <rFont val="Tahoma"/>
            <family val="2"/>
          </rPr>
          <t>Indicate the number of alerts generated by the automated transaction monitoring system that remain open or pending analysis as of as of end of the reference year. An alert is considered 'not analysed' if a final decision (close or escalate to STR) has not yet been taken.</t>
        </r>
      </text>
    </comment>
    <comment ref="K5" authorId="0" shapeId="0" xr:uid="{0C812F71-0227-4752-915C-108BDF0071E8}">
      <text>
        <r>
          <rPr>
            <sz val="16"/>
            <color indexed="81"/>
            <rFont val="Tahoma"/>
            <family val="2"/>
          </rPr>
          <t>Indicate the average time to analyse an alert during the reference year (number of days between that the alert was generated and the moment that the alert was closed)</t>
        </r>
      </text>
    </comment>
    <comment ref="L5" authorId="0" shapeId="0" xr:uid="{CFEA46E4-7C35-4FA0-A467-EEE15E2CD6EA}">
      <text>
        <r>
          <rPr>
            <sz val="16"/>
            <color indexed="81"/>
            <rFont val="Tahoma"/>
            <family val="2"/>
          </rPr>
          <t>Indicate the number of alerts generated by the automated transaction monitoring systems in accordance with Article 26(1) AMLR. This should include alerts generated during the reference year even if the related STRs (if applicable) were reported during the year following the reference year.
This excludes alerts of systems exclusively meant to detect transaction subject to targeted financial sanctions or politically exposed persons.</t>
        </r>
      </text>
    </comment>
    <comment ref="M5" authorId="0" shapeId="0" xr:uid="{2D9356DE-EA42-452C-97F0-D56C4037AAE5}">
      <text>
        <r>
          <rPr>
            <sz val="16"/>
            <color indexed="81"/>
            <rFont val="Tahoma"/>
            <family val="2"/>
          </rPr>
          <t>The data to be provided here is the number of STRs initially reported during the reference year and resulting from alerts generated by the automated transaction monitoring systems in accordance with Article 26(1) AMLR.
This should include STRs initially reported during the reference year even if the related alerts from the automated system were generated during the year before the reference year.</t>
        </r>
      </text>
    </comment>
    <comment ref="N5" authorId="0" shapeId="0" xr:uid="{A76E30AE-B0A9-455F-9645-8E8607F59DBA}">
      <text>
        <r>
          <rPr>
            <sz val="16"/>
            <color indexed="81"/>
            <rFont val="Tahoma"/>
            <family val="2"/>
          </rPr>
          <t>This datapoint is only applicable for CI, EMI, PI, IF and CASP.
Indicate whether the entity has implemented a tool that enables it to analyse information available on distributed ledgers and generate alerts where unusual patterns or risk factors are identified, in relation to the transactions carried out by the customer.
This datapoint should only be completed by obliged reporting entities providing services under MiCA (CIs, EMIs, PIs IFs and CASPs).</t>
        </r>
      </text>
    </comment>
    <comment ref="O5" authorId="0" shapeId="0" xr:uid="{9C0AF5D7-9F9A-47DE-9D77-CED8CB94A4B6}">
      <text>
        <r>
          <rPr>
            <sz val="16"/>
            <color indexed="81"/>
            <rFont val="Tahoma"/>
            <family val="2"/>
          </rPr>
          <t>Indicate the average number of days between the date of identification of potential suspicious transactions (prior to the analysis of the transaction) and the date when the transaction is reported to the FIU (after the analysis of the transaction) during the reference year.
Date of identification is the date on which a transaction reported as suspicious was first identified as inconsistent with the entity’s knowledge of the customer (pursuant to Article 26(1) AMLR), before conducting the assessment of such transactions pursuant to Article 69(2) AMLR.</t>
        </r>
      </text>
    </comment>
    <comment ref="P5" authorId="0" shapeId="0" xr:uid="{50C3264E-641B-42CD-B4A9-F36C29D48093}">
      <text>
        <r>
          <rPr>
            <sz val="16"/>
            <color indexed="81"/>
            <rFont val="Tahoma"/>
            <family val="2"/>
          </rPr>
          <t>Indicate the total number of STRs and SARs submitted to the FIU during the reference year (including manual).
The reporting of suspicions transactions should be carried out according to Article 69(1)(a) AMLR.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C112CFD8-B8F9-4015-8847-22E600749DED}">
      <text>
        <r>
          <rPr>
            <sz val="16"/>
            <color indexed="81"/>
            <rFont val="Tahoma"/>
            <family val="2"/>
          </rPr>
          <t xml:space="preserve">Template Remarks
This template (cluster of datapoints) is applicable for all sectors (unless it is mentioned in the datapoint otherwise). 
</t>
        </r>
      </text>
    </comment>
    <comment ref="B5" authorId="0" shapeId="0" xr:uid="{C9361A01-0542-46C3-BA56-C135378AC6D2}">
      <text>
        <r>
          <rPr>
            <sz val="16"/>
            <color indexed="81"/>
            <rFont val="Tahoma"/>
            <family val="2"/>
          </rPr>
          <t>This datapoint is applicable for all sectors.
Indicate the maximum number of hours experienced over the reference period between the publication of the TFS in the Official Journal of the EU and the effective implementation of these changes in the institution's screening tools. Vendor‑dependent and external parties delays must be included in the number of hours reported.
The reported timeframe should reflect when updated targeted financial sanctions are effectively applied in practice by the obliged reporting entity.</t>
        </r>
      </text>
    </comment>
    <comment ref="C5" authorId="0" shapeId="0" xr:uid="{BDEB94CB-369D-4BB5-8E8F-B2501CDE0CAE}">
      <text>
        <r>
          <rPr>
            <sz val="16"/>
            <color indexed="81"/>
            <rFont val="Tahoma"/>
            <family val="2"/>
          </rPr>
          <t>This datapoint is only applicable for CI, CP, EMI, PI, CASP and O.
Indicate the number of outbound transfers for which requests were received from a counterparty in the transfer chain for information that is missing, incomplete or provided using inadmissible characters during the reference year.
Outbound transactions: The movement of money from a financial account to an external account. This data point only includes transfers at customer level.</t>
        </r>
      </text>
    </comment>
    <comment ref="D5" authorId="0" shapeId="0" xr:uid="{E330C8A3-0C54-44A7-8A27-D713D5553E31}">
      <text>
        <r>
          <rPr>
            <sz val="16"/>
            <color indexed="81"/>
            <rFont val="Tahoma"/>
            <family val="2"/>
          </rPr>
          <t>This datapoint is only applicable for CI, CP, EMI, PI, CASP and O.
Indicate the total number of outbound transfers during the reference year.
Outbound transactions: The movement of money from a financial account to an external account. This data point only includes transfers at customer level.</t>
        </r>
      </text>
    </comment>
    <comment ref="E5" authorId="0" shapeId="0" xr:uid="{3A76FA3C-C733-4616-B883-514496137D8B}">
      <text>
        <r>
          <rPr>
            <sz val="16"/>
            <color indexed="81"/>
            <rFont val="Tahoma"/>
            <family val="2"/>
          </rPr>
          <t>This datapoint is only applicable for CI, CP, EMI, PI, CASP and O.
Indicate only transfers that are rejected or returned by the counterparty in the transfer chain due to information that is missing, incomplete or provided using inadmissible characters, during the reference year.
Counterparty: Any legal entity or individual that takes the opposite side of the financial transaction or contract.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7A4B630C-46C2-4EC5-A771-6B26C72E0878}">
      <text>
        <r>
          <rPr>
            <sz val="16"/>
            <color indexed="81"/>
            <rFont val="Tahoma"/>
            <family val="2"/>
          </rPr>
          <t xml:space="preserve">Template Remarks
This template (cluster of datapoints) is applicable for all sectors (unless it is mentioned in the datapoint otherwise). 
In the context of this template, group entities are the entities that are part of the group as defined in Article 2(1)(41) and (42) AMLR, including non-EU obliged entities. Entities of the group that are not obliged entities under AMLR should be excluded from the scope.
The questions below should only be answered by parent undertakings within the meaning of Article 2(1)(42) AMLR. See Annex II of this guidance for full definitions.
Special remarks: 
All “Group Reporting” datapoints below cover the provision by group entities or local AML functions of aggregated information (e.g. KPIs) or identity/transaction-level information to the group compliance function for the purposes of allowing the parent undertaking to fulfil its obligation under Article 16 AMLR to “ensure that the requirements on internal procedures, risk assessment and staff referred to in [Chapter 1, Section 1 AMLR] apply in all branches and subsidiaries of the group in the Member States and, for groups whose head office is located in the Union, in third countries”.
</t>
        </r>
      </text>
    </comment>
    <comment ref="B5" authorId="0" shapeId="0" xr:uid="{A3FA6030-2AA0-4670-99E1-9AA63F5D90EA}">
      <text>
        <r>
          <rPr>
            <sz val="16"/>
            <color indexed="81"/>
            <rFont val="Tahoma"/>
            <family val="2"/>
          </rPr>
          <t>Indicate the percentage of group entities that provided reports to the Group AML compliance on CDD during the reference year.
Examples of information included in such reports (strictly indicative):
Customers onboarded/off-boarded (in a given period)
Risk distribution (% LR, MR, HR)
Number/% of: PEPs, sanctions true matches, customers with complex corporate structures
Number/% of active customers with complete CDD
Number/% of CDD/EDD deficiencies (missing ID, missing UBO information, expired documents, missing source of funds/wealth, PEP annual review completed/due/overdue, etc.)
CDD data quality deficiencies
Periodic KYC review: completed/due/overdue (total/%), overdue HR customers
Trigger events: event-driven KYC reviews completed/due, average time to complete KYC after review
Etc.</t>
        </r>
      </text>
    </comment>
    <comment ref="C5" authorId="0" shapeId="0" xr:uid="{EE667C82-9BEC-4B2B-9D6B-04A91C447A86}">
      <text>
        <r>
          <rPr>
            <sz val="16"/>
            <color indexed="81"/>
            <rFont val="Tahoma"/>
            <family val="2"/>
          </rPr>
          <t>Indicate the percentage of group entities that provided reports to the Group AML compliance on ongoing monitoring during the reference year.
Examples of information included in such reports (strictly indicative):
Total transactions monitoring alerts generated (breakdown by scenarios)
% of alerts linked to HR customers
Number/% of alerts closed
Backlog of open alerts
Average time to close/escalate alerts
% of alerts escalated to level 2
% of alerts resulting in STRs (breakdown by scenario)
Number/% of false positives (breakdown by scenario)
% of transactions involving high-risk third countries
Etc.</t>
        </r>
      </text>
    </comment>
    <comment ref="D5" authorId="0" shapeId="0" xr:uid="{D1959A9C-57A2-4F1D-9931-25C11E5F1268}">
      <text>
        <r>
          <rPr>
            <sz val="16"/>
            <color indexed="81"/>
            <rFont val="Tahoma"/>
            <family val="2"/>
          </rPr>
          <t>Indicate the percentage of group entities that provided reports to the Group AML compliance on Suspicious Transaction Indicates (STRs) during the reference year.
Examples of information included in such reports (strictly indicative):
Number of STRs filed (breakdown by product, business line)
Number/% of STRs per origin (automated transactions monitoring, manual referrals, audit findings, FIU/law enforcement referrals)
Average time from alert generation to STR filing
Number/% of late STR filings (period)
STR quality indicators:
Number/% STRs rejected internally before filing
Number/% returned by FIU for additional information
FIU feedback received (positive/negative)
Follow-up requests from FIU (number)
STRs linked to confirmed investigations (if known)
STRs risk breakdown (% linked to HR customers, PEPs, HR jurisdictions, complex corporate structures etc.)
STRs breakdown by underlying offense
Customers reported by several group entities.</t>
        </r>
      </text>
    </comment>
    <comment ref="E5" authorId="0" shapeId="0" xr:uid="{B49BD0D6-A142-426F-A28B-3BF1CE1A562F}">
      <text>
        <r>
          <rPr>
            <sz val="16"/>
            <color indexed="81"/>
            <rFont val="Tahoma"/>
            <family val="2"/>
          </rPr>
          <t>Indicate the percentage of group entities that provided reports to the Group AML compliance on identity and transaction-level information on high-risk customers during the reference year.
This datapoint should reflect the sharing of information related to specific individual customers or specific transactions from one group entity or local AML functions to the group compliance function (e.g. for the purpose of further group-wide investigations).</t>
        </r>
      </text>
    </comment>
    <comment ref="F5" authorId="0" shapeId="0" xr:uid="{1BEEA078-E487-4D60-A2F1-48B323916CCE}">
      <text>
        <r>
          <rPr>
            <sz val="16"/>
            <color indexed="81"/>
            <rFont val="Tahoma"/>
            <family val="2"/>
          </rPr>
          <t>Indicate the percentage of group entities that provided reports to the Group AML compliance on deficiencies during the reference year.</t>
        </r>
      </text>
    </comment>
    <comment ref="G5" authorId="0" shapeId="0" xr:uid="{0A5EA839-643E-4789-BEF6-10AA27828385}">
      <text>
        <r>
          <rPr>
            <sz val="16"/>
            <color indexed="81"/>
            <rFont val="Tahoma"/>
            <family val="2"/>
          </rPr>
          <t>Indicate the percentage of jurisdictions in which the group is established which were subject to reviews (including access to customer and transaction level data) performed by the group AML/CFT compliance function during the three-year period comprising the reference year and the two preceding calendar years.
In case a compliance review covered multiple jurisdictions, these jurisdictions should be considered in assessing the percentage.
Applies only to groups that have been existing before the start of the three-year period comprising the reference year and the two preceding calendar years.</t>
        </r>
      </text>
    </comment>
    <comment ref="H5" authorId="0" shapeId="0" xr:uid="{1D796405-6557-4AFF-AA4F-C57BAD7F76C5}">
      <text>
        <r>
          <rPr>
            <sz val="16"/>
            <color indexed="81"/>
            <rFont val="Tahoma"/>
            <family val="2"/>
          </rPr>
          <t>Indicate the number of group entities in the EU/EEA for which deficiencies were identified by competent AML/CFT supervisors during the reference year.
This includes (but is not restricted to) AML/CFT control deficiencies mentioned in written compliance briefings, written warnings, and administrative sanctions such as an order subject to penalty or an administrative fine.</t>
        </r>
      </text>
    </comment>
    <comment ref="I5" authorId="0" shapeId="0" xr:uid="{9469B7A9-6B03-4876-A7CC-859316DCFB13}">
      <text>
        <r>
          <rPr>
            <sz val="16"/>
            <color indexed="81"/>
            <rFont val="Tahoma"/>
            <family val="2"/>
          </rPr>
          <t>Indicate the number of group entities outside the EU/EEA for which deficiencies were identified by competent AML/CFT supervisors during the reference year.
This includes (but is not restricted to) AML/CFT control deficiencies mentioned in written compliance briefings, written warnings, and administrative sanctions such as an order subject to penalty or an administrative fine.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D62BF4E1-7A68-4335-8B87-9D4AC945269C}">
      <text>
        <r>
          <rPr>
            <sz val="16"/>
            <color indexed="81"/>
            <rFont val="Tahoma"/>
            <family val="2"/>
          </rPr>
          <t xml:space="preserve">Template Remarks
Fill out this template if you offer some of these services and/or products. Normally this template is applicable for CI, CP, EMI, PI and O.
‘Payment account’ means an account held in the name of one or more payment service users which is used for the execution of payment transactions, pursuant to Article 4(12) of Directive 2015/2366, and, where relevant for accounts held by consumers, Article 2(3) of Directive 2014/92/EU.
For the purposes of this data collection exercise:
The qualification of an account as a payment account shall not depend on its commercial designation (e.g. 'savings account' or similar), but on the account’s substantive features and permitted functionalities under the applicable national implementing framework. For instance, where an account enables the execution of payment transactions to/from third parties, it should be treated as a payment account. By contrast, where an account’s functionality is limited to the accumulation or internal management of liquidity and does not enable the execution of payment transactions to/from third parties, it should not be treated as a payment account. 
All unique payment accounts must be included (multiple accounts per individual, company or group of companies must be included, including virtual IBANs).
Regarding crypto, where a crypto-asset service offered by a CASP involves payment services, and the execution of those services is carried out by the payment service providers servicing the relevant payment accounts, such payments should be considered within the scope of the data points below.
An ‘incoming transaction’ refers to a payment transaction resulting in funds being credited to the customer’s payment account held with the obliged entity. In other words, the transaction is incoming from the customers’ perspective and increases the balance of their accounts. Equivalently, an ‘outgoing transaction’ refers to a payment transaction initiated by the customer and debited from the customer’s payment account held with the obliged entity. In other words, the transaction is outgoing from the customers’ perspective and reduces the balance of their accounts.
</t>
        </r>
      </text>
    </comment>
    <comment ref="B5" authorId="0" shapeId="0" xr:uid="{1A4B7C93-1E75-426D-9508-C608F0F949C3}">
      <text>
        <r>
          <rPr>
            <sz val="16"/>
            <color indexed="81"/>
            <rFont val="Tahoma"/>
            <family val="2"/>
          </rPr>
          <t>This information should refer to the total number of payment accounts at the end of the reference year.</t>
        </r>
      </text>
    </comment>
    <comment ref="C5" authorId="0" shapeId="0" xr:uid="{463FC3B1-86F3-43E8-AFA9-E72478E30031}">
      <text>
        <r>
          <rPr>
            <sz val="16"/>
            <color indexed="81"/>
            <rFont val="Tahoma"/>
            <family val="2"/>
          </rPr>
          <t>The total value of all incoming payment transactions in the reference year, as defined by Article 4(5) of Directive 2015/2366/EU (PSD2), in funds, credited to payment accounts, as defined by Article 4(12) PSD2, held by customers with the obliged entity.
The following shall be excluded:
Internal transfers – The crediting of funds to a payment account from another payment account held by the same payment service user within the same obliged entity.
For joint payment accounts, ‘same payment service user’ shall be understood as the same set of account holders.
Reversals – Transactions that are subsequently reversed, refunded, or otherwise nullified. In the case of partial reversals, only the unreversed net amount is retained.
Intra-group operational transfers – Transactions credited from an account held by an entity that is part of the obliged entity’s consolidation group at global level, as determined in accordance with the applicable accounting framework, provided that the transaction is executed solely for internal operational purposes—such as treasury management, intra-group financing, or internal capital support. This exclusion shall not cover customer-to-customer payments between separate group entities. Furthermore, the exclusion shall not apply to transactions from a group entity where the latter merely intermediates funds originating from a payer outside the group, provided the ultimate payer can be reliably identified from the available payment information.
Incoming e-money payment transactions (to be reported under “E-Money Transactions (Incoming)”) - Incoming payment transactions (Article 4(5) PSD2) where the credited value constitutes electronic money, i.e. electronically (including magnetically) stored monetary value represented by a claim on the issuer, issued on receipt of funds for the purpose of making payment transactions, and accepted by a natural or legal person other than the issuer, within the meaning of Article 2(2) of Directive 2009/110/EC. For clarity, this exclusion applies also in those circumstances where the receiving account/wallet qualifies as a “payment account” under Article 4(12) PSD2.</t>
        </r>
      </text>
    </comment>
    <comment ref="D5" authorId="0" shapeId="0" xr:uid="{981B72FE-9F37-48DA-B0B1-573536E9D5FD}">
      <text>
        <r>
          <rPr>
            <sz val="16"/>
            <color indexed="81"/>
            <rFont val="Tahoma"/>
            <family val="2"/>
          </rPr>
          <t>Number of transactions related to the value mentioned in C0020 above. For the sake of consistency, the exclusions mentioned for data point C0020 should also apply to this data point.</t>
        </r>
      </text>
    </comment>
    <comment ref="E5" authorId="0" shapeId="0" xr:uid="{B09FD956-B5C9-4381-8532-5EBB97ADC8AA}">
      <text>
        <r>
          <rPr>
            <sz val="16"/>
            <color indexed="81"/>
            <rFont val="Tahoma"/>
            <family val="2"/>
          </rPr>
          <t>The total value of all outgoing payment transactions in the reference year, as defined by Article 4(5) of Directive 2015/2366/EU (PSD2), in funds, debited from payment accounts, as defined by Article 4(12) PSD2, held by customers with the obliged entity. The following shall be excluded from this calculation:
Internal transfers – The debiting of funds from a payment account to another payment account held by the same payment service user within the same obliged entity.
For joint accounts, ‘same payment service user’ shall be understood as the same set of account holders.
Reversals – Transactions that are subsequently reversed, refunded, or otherwise nullified. In the case of partial reversals, only the unreversed net amount is retained.
Intra-group operational transfers – Transactions debited from an account held by an entity that is part of the obliged entity’s consolidation group at global level, as determined in accordance with the applicable accounting framework, provided that the transaction is executed solely for internal operational purposes – such as treasury management, intra-group financing, or internal capital support. This exclusion shall not cover customer-to-customer payments between separate group entities. Furthermore, the exclusion shall not apply to transactions from a group entity where the latter merely intermediates funds transferred to a payee outside the group, provided the ultimate payee can be reliably identified from the available payment information.
Outgoing e-money payment transactions (to be reported under “E-Money Transactions (Outgoing)”) - Outgoing payment transactions (Article 4(5) PSD2) where the debited value constitutes electronic money, i.e. electronically (including magnetically) stored monetary value represented by a claim on the issuer, issued on receipt of funds for the purpose of making payment transactions, and accepted by a natural or legal person other than the issuer, within the meaning of Article 2(2) of Directive 2009/110/EC. For clarity, this exclusion applies also in those circumstances where the account/wallet from which the funds are debited qualifies as a “payment account” under Article 4(12) PSD2.</t>
        </r>
      </text>
    </comment>
    <comment ref="F5" authorId="0" shapeId="0" xr:uid="{94A296D8-0BBA-4E02-9AA7-B8D68EEF730C}">
      <text>
        <r>
          <rPr>
            <sz val="16"/>
            <color indexed="81"/>
            <rFont val="Tahoma"/>
            <family val="2"/>
          </rPr>
          <t>Number of transactions related to the value mentioned in C0040 above. For the sake of consistency, the exclusion mentioned for data point C0040 should also apply to this data point.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1C3816DE-C986-41CB-A3FC-4341D38AA047}">
      <text>
        <r>
          <rPr>
            <sz val="16"/>
            <color indexed="81"/>
            <rFont val="Tahoma"/>
            <family val="2"/>
          </rPr>
          <t xml:space="preserve">Template Remarks
Fill out this template if you offer some of these services and/or products, normally this template is applicable for CI, EMI and PI.
The definition of vIBAN is based on the definition used in Article 2(26) AMLR: identifier causing payments to be redirected to a payment account identified by an IBAN different from that identifier. This should include both individual and pooled vIBAN accounts.
</t>
        </r>
      </text>
    </comment>
    <comment ref="B5" authorId="0" shapeId="0" xr:uid="{6D41D4B4-EA44-4A03-BB6D-D8EFDFC7471A}">
      <text>
        <r>
          <rPr>
            <sz val="16"/>
            <color indexed="81"/>
            <rFont val="Tahoma"/>
            <family val="2"/>
          </rPr>
          <t>Indicate the total number of master accounts with linked virtual IBANs (vIBANs) as of as of end of the reference year. This includes both individual and pooled vIBAN accounts.</t>
        </r>
      </text>
    </comment>
    <comment ref="C5" authorId="0" shapeId="0" xr:uid="{2939F40D-AC6F-4583-830F-382F8B7ACFA6}">
      <text>
        <r>
          <rPr>
            <sz val="16"/>
            <color indexed="81"/>
            <rFont val="Tahoma"/>
            <family val="2"/>
          </rPr>
          <t>Indicate Transactions on vIBANs (Incoming) - Number during the reference year.</t>
        </r>
      </text>
    </comment>
    <comment ref="D5" authorId="0" shapeId="0" xr:uid="{D5266CA7-210B-48AE-B8D9-663FF5FD53B4}">
      <text>
        <r>
          <rPr>
            <sz val="16"/>
            <color indexed="81"/>
            <rFont val="Tahoma"/>
            <family val="2"/>
          </rPr>
          <t>Indicate Transactions on vIBANs (Incoming) - Value during the reference year.</t>
        </r>
      </text>
    </comment>
    <comment ref="E5" authorId="0" shapeId="0" xr:uid="{6E97DC5A-189A-4874-A725-F6E5D30453A4}">
      <text>
        <r>
          <rPr>
            <sz val="16"/>
            <color indexed="81"/>
            <rFont val="Tahoma"/>
            <family val="2"/>
          </rPr>
          <t>Indicate Transactions on vIBANs (Outgoing) - Number during the reference year.</t>
        </r>
      </text>
    </comment>
    <comment ref="F5" authorId="0" shapeId="0" xr:uid="{55C31168-EDF9-4C08-87E9-B624CF519DAA}">
      <text>
        <r>
          <rPr>
            <sz val="16"/>
            <color indexed="81"/>
            <rFont val="Tahoma"/>
            <family val="2"/>
          </rPr>
          <t>Indicate Transactions on vIBANs (Outgoing) - Value during the reference year.</t>
        </r>
      </text>
    </comment>
    <comment ref="G5" authorId="0" shapeId="0" xr:uid="{C6799F82-DC26-41C9-B8FB-B60AEBCCAD0D}">
      <text>
        <r>
          <rPr>
            <sz val="16"/>
            <color indexed="81"/>
            <rFont val="Tahoma"/>
            <family val="2"/>
          </rPr>
          <t>This information should refer to the total number of re-issued Virtual IBANs during the reference year.
Re-issued IBANs can be regarded as virtual IBANs for which the end user is not a customer of the obliged entity during the reference year.</t>
        </r>
      </text>
    </comment>
    <comment ref="H5" authorId="0" shapeId="0" xr:uid="{4FD230DB-304B-487C-824E-49B86AE44C23}">
      <text>
        <r>
          <rPr>
            <sz val="16"/>
            <color indexed="81"/>
            <rFont val="Tahoma"/>
            <family val="2"/>
          </rPr>
          <t>Indicate the total number of re-issued IBANs during the reference year for which the end-user is not a customer of the obliged entity.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1B379E72-C447-4DDD-8706-77F5CEB58F0A}">
      <text>
        <r>
          <rPr>
            <sz val="16"/>
            <color indexed="81"/>
            <rFont val="Tahoma"/>
            <family val="2"/>
          </rPr>
          <t xml:space="preserve">Template Remarks
Fill out this template if you offer some of these services and/or products, normally this template is applicable for CI, EMI, PI and CASP.
‘Prepaid card’ means a non-nominal card that stores or provides access to monetary value or funds which can be used for payment transactions, for acquiring goods or services or for the redemption of currency where such card is not linked to a bank account, in accordance with Article 2(1)(f) of Regulation (EU) 2018/1672.
</t>
        </r>
      </text>
    </comment>
    <comment ref="B5" authorId="0" shapeId="0" xr:uid="{2B3EE2D2-6148-4437-B2C8-27523BA98088}">
      <text>
        <r>
          <rPr>
            <sz val="16"/>
            <color indexed="81"/>
            <rFont val="Tahoma"/>
            <family val="2"/>
          </rPr>
          <t>Indicate the total number of Prepaid Cards Issued – Total number during the reference year.</t>
        </r>
      </text>
    </comment>
    <comment ref="C5" authorId="0" shapeId="0" xr:uid="{576018AB-8644-456F-9980-9CC3B5EDE7F5}">
      <text>
        <r>
          <rPr>
            <sz val="16"/>
            <color indexed="81"/>
            <rFont val="Tahoma"/>
            <family val="2"/>
          </rPr>
          <t>Indicate the total value of the Prepaid Cards Issued - Value during the reference year.</t>
        </r>
      </text>
    </comment>
    <comment ref="D5" authorId="0" shapeId="0" xr:uid="{0A3356A7-18EE-4997-9A19-3138F8225ACC}">
      <text>
        <r>
          <rPr>
            <sz val="16"/>
            <color indexed="81"/>
            <rFont val="Tahoma"/>
            <family val="2"/>
          </rPr>
          <t>Balance remaining as of end of the reference year on pre-paid cards issued during the reference year.</t>
        </r>
      </text>
    </comment>
    <comment ref="E5" authorId="0" shapeId="0" xr:uid="{B8619A21-96D0-4B02-AE10-874FD9DEAA1A}">
      <text>
        <r>
          <rPr>
            <sz val="16"/>
            <color indexed="81"/>
            <rFont val="Tahoma"/>
            <family val="2"/>
          </rPr>
          <t>Indicate the total number of customers using pre-paid cards during the reference year. Using customers also include customers that bought or were issued a prepaid card during the reference year, but didn’t use it during the reference year.</t>
        </r>
      </text>
    </comment>
    <comment ref="F5" authorId="0" shapeId="0" xr:uid="{1DF5562B-F776-4E94-AFE9-BF0BB5DFF468}">
      <text>
        <r>
          <rPr>
            <sz val="16"/>
            <color indexed="81"/>
            <rFont val="Tahoma"/>
            <family val="2"/>
          </rPr>
          <t>Indicate the total number of customers using (more than 3) pre-paid cards during the reference year. Using customers also include customers that bought or were issued a prepaid card during the reference year, but didn’t use it during the reference year.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21FA238A-A7F4-48DA-9D84-5FFC25070697}">
      <text>
        <r>
          <rPr>
            <sz val="16"/>
            <color indexed="81"/>
            <rFont val="Tahoma"/>
            <family val="2"/>
          </rPr>
          <t xml:space="preserve">Template Remarks
Fill out this template if you offer some of these services and/or products, normally this template is applicable for CI and CP.
An outstanding loan refers to the portion of a loan that remains unpaid by the borrower at a given point in time; the outstanding principal (drawn amounts only). Overdrafts, guarantees and undrawn committed lines are thus not included.
Facoring, Leasing, written off loans (with repayment activity), non performing loans should be included. 
Credit agreements which are secured either by a mortgage or by another comparable security commonly used in a Member State on immovable property or secured by a right related to immovable property are excluded (except for datapoints C0030 and C0040 in this template).
Credit cards with a credit facility and similar products (e.g. credit invoice facilities) are excluded from this template. 
Intra group loans should be excluded
Reporting must align with the entity that legally books the loan (regardless of customer relationship management).
</t>
        </r>
      </text>
    </comment>
    <comment ref="B5" authorId="0" shapeId="0" xr:uid="{8D911C53-D45D-4821-9BAC-C7B0E7EDD40E}">
      <text>
        <r>
          <rPr>
            <sz val="16"/>
            <color indexed="81"/>
            <rFont val="Tahoma"/>
            <family val="2"/>
          </rPr>
          <t>Indicate the status of the total number of outstanding loans as of end of the reference year.
Only count every loan once (even if there are more clients to one loan)</t>
        </r>
      </text>
    </comment>
    <comment ref="C5" authorId="0" shapeId="0" xr:uid="{6DF0367E-2141-4D0F-8DE0-0FF1B684FC93}">
      <text>
        <r>
          <rPr>
            <sz val="16"/>
            <color indexed="81"/>
            <rFont val="Tahoma"/>
            <family val="2"/>
          </rPr>
          <t>Indicate the status of the total value of outstanding loans as of end of the reference year.</t>
        </r>
      </text>
    </comment>
    <comment ref="D5" authorId="0" shapeId="0" xr:uid="{CA1B41CC-3DCB-4E26-ACB4-2F6C70F3FCFE}">
      <text>
        <r>
          <rPr>
            <sz val="16"/>
            <color indexed="81"/>
            <rFont val="Tahoma"/>
            <family val="2"/>
          </rPr>
          <t>Total number of outstanding loans/Credit agreements (partly or fully) secured either by a mortgage or by another comparable security commonly used in a Member State on residential real estate collateral or secured by a right related to that immovable property, as of end of the reference year.
In accordance with the meaning of residential real estate set out in the CRR, 'residential property' means a residence which is occupied or intended to be occupied by the owner of the residence, including the right to inhabit an apartment in housing cooperatives (Article 4(1)(75) of Regulation (EU) 575/2013 (CRR)
Exclude operating leases and pure leasing agreements not classified as loans, and Commercial real estate loans.</t>
        </r>
      </text>
    </comment>
    <comment ref="E5" authorId="0" shapeId="0" xr:uid="{32D7844B-D04D-4E52-BBF2-E96417EEE05E}">
      <text>
        <r>
          <rPr>
            <sz val="16"/>
            <color indexed="81"/>
            <rFont val="Tahoma"/>
            <family val="2"/>
          </rPr>
          <t>This information should refer to the total number of outstanding real estate loans with third party payments as of the end of the reference year with third party payments at any point during the year.
Payments and/or interest payments on mortgage loans to be made by third parties/persons not mentioned in the mortgage deed, other than a notary, from a joint account with only one borrower, the national mortgage guarantee (NHG), municipalities or an insurance company as of end of the reference year.
This includes on-off payments by third parties and/or payments by close family members (if not legally part of the loan agreement).</t>
        </r>
      </text>
    </comment>
    <comment ref="F5" authorId="0" shapeId="0" xr:uid="{31E14A2A-7F80-487F-9DAB-0AE723C5D6E3}">
      <text>
        <r>
          <rPr>
            <sz val="16"/>
            <color indexed="81"/>
            <rFont val="Tahoma"/>
            <family val="2"/>
          </rPr>
          <t>Indicate Loans Granted (New disbursements) - Value of the nominal principal disbursed during the reference year.
Only drawn amounts (outstanding balances) should be reported for credit lines/revolving facilities. 
Undrawn limits (e.g., approved but unused overdrafts) must be excluded. </t>
        </r>
      </text>
    </comment>
    <comment ref="G5" authorId="0" shapeId="0" xr:uid="{88303CFA-4949-44A3-A01F-4DD145EB57FB}">
      <text>
        <r>
          <rPr>
            <sz val="16"/>
            <color indexed="81"/>
            <rFont val="Tahoma"/>
            <family val="2"/>
          </rPr>
          <t>Collateral which at least partially consists of cash or an account on which cash is deposited as per the definition of cash under Article 2(1)(a) of Regulation (EU) 2018/1672: ‘Cash’ means: (i) currency; (ii) bearer-negotiable instruments; (iii) commodities used as highly liquid stores of value; (iv) prepaid cards.
Indicate the total number of outstanding asset-backed loans with cash collateral as of the end of the reference year.</t>
        </r>
      </text>
    </comment>
    <comment ref="H5" authorId="0" shapeId="0" xr:uid="{5FCB6641-B279-49B8-B2FA-F860DA9767EC}">
      <text>
        <r>
          <rPr>
            <sz val="16"/>
            <color indexed="81"/>
            <rFont val="Tahoma"/>
            <family val="2"/>
          </rPr>
          <t>The total number of loans that were fully repaid and closed within the reference year, regardless of their original disbursement date during the reference year.</t>
        </r>
      </text>
    </comment>
    <comment ref="I5" authorId="0" shapeId="0" xr:uid="{E4AF865B-F925-4EF4-B875-6F6118FD18A3}">
      <text>
        <r>
          <rPr>
            <sz val="16"/>
            <color indexed="81"/>
            <rFont val="Tahoma"/>
            <family val="2"/>
          </rPr>
          <t>The total number of loans that were fully repaid and closed during the reference year, prematurely compared to their originally planned disbursement date.</t>
        </r>
      </text>
    </comment>
    <comment ref="J5" authorId="0" shapeId="0" xr:uid="{670052EC-D359-41BA-9A5D-96F5E1715A46}">
      <text>
        <r>
          <rPr>
            <sz val="16"/>
            <color indexed="81"/>
            <rFont val="Tahoma"/>
            <family val="2"/>
          </rPr>
          <t>Indicate the total number of Loan Repayments from Non-EEA Countries during the reference year regardless of the borrower’s residence.
This means all individual repayment transactions (e.g., every instalment or lump-sum payment) originating from non-EEA countries. 
For determining the origin of the payment (EEA-non EEA), use the payers residence over the payment account location where possible.</t>
        </r>
      </text>
    </comment>
    <comment ref="K5" authorId="0" shapeId="0" xr:uid="{4A63DB9D-75EB-48F5-8295-5EE9C292FE3B}">
      <text>
        <r>
          <rPr>
            <sz val="16"/>
            <color indexed="81"/>
            <rFont val="Tahoma"/>
            <family val="2"/>
          </rPr>
          <t>Total number of consumer credits and similar credit lines that are granted to customers during the reference year without specifying a purpose for the credit (without a defined purpose at origination). The customers are free to decide how (and when) they want to use the funds borrowed from the lender.
Loans initially linked to a purpose but later used flexibly and loans related to mortgages, auto loans, point-of-sale financing, corporate loans, acquired loan portfolios etc. should be excluded.</t>
        </r>
      </text>
    </comment>
    <comment ref="L5" authorId="0" shapeId="0" xr:uid="{F952D6DD-69C0-477B-AACE-C84AFA2F292C}">
      <text>
        <r>
          <rPr>
            <sz val="16"/>
            <color indexed="81"/>
            <rFont val="Tahoma"/>
            <family val="2"/>
          </rPr>
          <t>For the purpose of this data collection, factoring should be understood as a credit activity consisting of the financing of commercial transactions through the purchase of trade receivables, with or without recourse during the reference year. This includes payables finance and invoice discounting.
Securitisation, leasing, forfaiting, stock financing (unless explicitly part of factoring operations) and intermediated/brokered factoring are excluded.
Indicate the total number of factoring contracts granted during the reference year (e.g., count each legally distinct contract, regardless of client). Master agreements with multiple assignments should be counted once. Count only the contracts, even if one contract covers multiple legal entities.</t>
        </r>
      </text>
    </comment>
    <comment ref="M5" authorId="0" shapeId="0" xr:uid="{526E3F94-FED6-4A46-BDED-FC66D5A22B98}">
      <text>
        <r>
          <rPr>
            <sz val="16"/>
            <color indexed="81"/>
            <rFont val="Tahoma"/>
            <family val="2"/>
          </rPr>
          <t>Indicate Factoring Contracts Granted - Value during the reference year.
The value includes the nominal receivables (or payables in case of reverse factoring).</t>
        </r>
      </text>
    </comment>
    <comment ref="N5" authorId="0" shapeId="0" xr:uid="{FCFD6298-2C87-40C1-A98E-645709F14D90}">
      <text>
        <r>
          <rPr>
            <sz val="16"/>
            <color indexed="81"/>
            <rFont val="Tahoma"/>
            <family val="2"/>
          </rPr>
          <t>Indicate Factoring Contracts to Non-EEA Obligors - Value during the reference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D0471CE7-811A-4205-8E9A-EEA49929E56D}">
      <text>
        <r>
          <rPr>
            <sz val="16"/>
            <color indexed="81"/>
            <rFont val="Tahoma"/>
            <family val="2"/>
          </rPr>
          <t xml:space="preserve">Template Remarks
Fill out this template if you offer some of these services and/or products, normally this template is applicable for LI. If any of the fields are not applicable (e.g. no brokers are involved, you don’t have data visibility) report as 0.
Life insurance activities and operations are defined by Article 2(3) of Directive 2009/138/EC.
</t>
        </r>
      </text>
    </comment>
    <comment ref="B5" authorId="0" shapeId="0" xr:uid="{71D77BB8-C8E4-4873-B99C-511AA067F112}">
      <text>
        <r>
          <rPr>
            <sz val="16"/>
            <color indexed="81"/>
            <rFont val="Tahoma"/>
            <family val="2"/>
          </rPr>
          <t>In accordance with Article 35 of Directive 91/674/EEC, gross premiums written shall comprise all amounts due during the reference year in respect of insurance contracts regardless of the fact that such amounts may relate in whole or in part to a later financial year.
It includes both direct and reinsurance business.
For Life Insurance Intermediaries: the portion of gross premiums written by the life insurance undertaking during the reference year that the relevant life insurance intermediary has distributed.</t>
        </r>
      </text>
    </comment>
    <comment ref="C5" authorId="0" shapeId="0" xr:uid="{6F7B13AF-CE1C-4660-9BE9-23F65EBB3518}">
      <text>
        <r>
          <rPr>
            <sz val="16"/>
            <color indexed="81"/>
            <rFont val="Tahoma"/>
            <family val="2"/>
          </rPr>
          <t>The total amount of surrender value as mentioned in Article 185 (3)(f) of Directive 2009/138/EC, paid during the reference year. The surrender value should reflect the amount, defined contractually, paid to the policyholder in case of early termination of the contract (i.e. before it becomes payable by maturity or occurrence of the insured event, such as death), net of charges and policy loans. It includes surrender values guaranteed and not guaranteed.</t>
        </r>
      </text>
    </comment>
    <comment ref="D5" authorId="0" shapeId="0" xr:uid="{B6823CF5-AC54-4312-BB9A-D05423C4F751}">
      <text>
        <r>
          <rPr>
            <sz val="16"/>
            <color indexed="81"/>
            <rFont val="Tahoma"/>
            <family val="2"/>
          </rPr>
          <t>Indicate the percentage of all gross written premium collected by brokers from policy holders during the reference year (on behalf of insurer) as a share of total GWP. Exclude commissions/fees paid by the insurer to brokers.</t>
        </r>
      </text>
    </comment>
    <comment ref="E5" authorId="0" shapeId="0" xr:uid="{749801F7-F964-4DF9-B7AA-79638B0B44F8}">
      <text>
        <r>
          <rPr>
            <sz val="16"/>
            <color indexed="81"/>
            <rFont val="Tahoma"/>
            <family val="2"/>
          </rPr>
          <t>Life insurance contracts or products outstanding as of end of the reference year that do not meet any of the following conditions (these are not cumulative): (i) they cannot be redeemed, (ii) contracts merely covering death or certain disabilities or attacks on the physical integrity of the person (which often require medical evidence), which do not include an element of savings or investment, (iii) the annual premium is not above EUR 1.000 or the unique premium is not above EUR 2.500, (iv) contracts whose premiums remain below or equal to applicable tax-deductible ceiling.risk
In case of bundled products: when several elements of the bundle do not meet the above criteria, they shall be reported separately.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Aitor a</author>
  </authors>
  <commentList>
    <comment ref="A2" authorId="0" shapeId="0" xr:uid="{4BD4FDD4-6DC6-4847-B4FD-690DCB5762B2}">
      <text>
        <r>
          <rPr>
            <sz val="16"/>
            <color indexed="81"/>
            <rFont val="Tahoma"/>
            <family val="2"/>
          </rPr>
          <t xml:space="preserve">Template Remarks
Fill out this template if you offer some of these services and/or products, normally this template is applicable for CI, EMI, PI and BC.
Currency transactions are transactions where funds are converted from one currency into another and at least one side of the transaction is in physical cash (cash-to-cash, cash-to-account or account-to-cash). Both standalone cash currency exchanges (e.g. walk-in business) and transactions where a cash currency-exchange component is embedded in a broader operation, provided that this component is explicitly recorded as a currency exchange transaction, should be considered.
For the purpose of this data collection, with regard to currency exchange transactions, obliged entities should consider the domestic currency as the base currency and the foreign currency as the quoted currency. The domestic currency is the legal tender in the jurisdiction where the transaction occurs.
Consistently with the approach above:
“buy” should refer to transactions in which the base currency is received, and the quoted currency is used (sold) to pay for the exchange;
“sell” should refer to transactions in which the base currency is sold, and the quoted currency is received.
For foreign exchange transactions not involving the euro, the transaction amounts still need to be converted in euro for the purpose of the volume-based data points in this section. The conversion into euro should follow the general approach applied across this data collection, i.e., by using the year-end exchange rate. In case this approach results as being overly burdensome for obliged entities - because they immediately convert these transactions into euro, for example for internal reporting purposes or foreign exchange transactions involving currencies other than the euro by using the spot euro conversion factor applicable on the date of the transaction - these obliged entities may use that same spot conversion rate also for the purpose of this data collection.
</t>
        </r>
      </text>
    </comment>
    <comment ref="B5" authorId="0" shapeId="0" xr:uid="{8E7D484E-067E-497A-BD79-B59CE51B6869}">
      <text>
        <r>
          <rPr>
            <sz val="16"/>
            <color indexed="81"/>
            <rFont val="Tahoma"/>
            <family val="2"/>
          </rPr>
          <t>Indicate the number of Currency Exchange transactions carried out - Sell - during the reference year.</t>
        </r>
      </text>
    </comment>
    <comment ref="C5" authorId="0" shapeId="0" xr:uid="{0E7D5F18-E4BD-44B4-A954-DB4DD1371CC3}">
      <text>
        <r>
          <rPr>
            <sz val="16"/>
            <color indexed="81"/>
            <rFont val="Tahoma"/>
            <family val="2"/>
          </rPr>
          <t>Indicate the number of Currency Exchange transactions carried out - Buy - during the reference year.</t>
        </r>
      </text>
    </comment>
    <comment ref="D5" authorId="0" shapeId="0" xr:uid="{765CB0E0-87B9-40D5-A824-912FB77D81E6}">
      <text>
        <r>
          <rPr>
            <sz val="16"/>
            <color indexed="81"/>
            <rFont val="Tahoma"/>
            <family val="2"/>
          </rPr>
          <t>Indicate the number of currency exchange transactions carried out - sell - where the transaction is above EUR 1.000 during the reference year.</t>
        </r>
      </text>
    </comment>
    <comment ref="E5" authorId="0" shapeId="0" xr:uid="{29E3E318-EFD6-453D-B33B-AB590E63B3E1}">
      <text>
        <r>
          <rPr>
            <sz val="16"/>
            <color indexed="81"/>
            <rFont val="Tahoma"/>
            <family val="2"/>
          </rPr>
          <t>Indicate the number of currency exchange transactions carried out – Buy - during the reference year, where the transaction is above EUR 1.000.</t>
        </r>
      </text>
    </comment>
    <comment ref="F5" authorId="0" shapeId="0" xr:uid="{25EE0F81-D401-4583-8691-8E6000629A06}">
      <text>
        <r>
          <rPr>
            <sz val="16"/>
            <color indexed="81"/>
            <rFont val="Tahoma"/>
            <family val="2"/>
          </rPr>
          <t>Indicate the value of currency exchange transactions carried out - Sell - during the reference year.</t>
        </r>
      </text>
    </comment>
    <comment ref="G5" authorId="0" shapeId="0" xr:uid="{5B978E1F-0970-46D3-800A-3037776008B6}">
      <text>
        <r>
          <rPr>
            <sz val="16"/>
            <color indexed="81"/>
            <rFont val="Tahoma"/>
            <family val="2"/>
          </rPr>
          <t>Indicate the value of currency exchange transactions carried out - Buy - during the reference year.</t>
        </r>
      </text>
    </comment>
    <comment ref="H5" authorId="0" shapeId="0" xr:uid="{C9EE0386-FF33-4C7B-89B9-70475B939AEA}">
      <text>
        <r>
          <rPr>
            <sz val="16"/>
            <color indexed="81"/>
            <rFont val="Tahoma"/>
            <family val="2"/>
          </rPr>
          <t>Indicate the value of cash-to-cash currency exchange transactions carried out during the reference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<sst xmlns="http://schemas.openxmlformats.org/spreadsheetml/2006/main" count="9277" uniqueCount="1935">
  <si>
    <t>Overall quality status of the workbook:</t>
  </si>
  <si>
    <t>Please note:</t>
  </si>
  <si>
    <r>
      <t xml:space="preserve">- The table below helps you understand which templates (i.e., the subsequent sheets in this workbook) you are expected to fill out, as well as any potential errors or warnings related to the data you have entered.
- </t>
    </r>
    <r>
      <rPr>
        <b/>
        <sz val="11"/>
        <rFont val="Calibri"/>
        <family val="2"/>
        <scheme val="minor"/>
      </rPr>
      <t>Before using it please fill out all data points in the Basic information sheet AML.01.01</t>
    </r>
    <r>
      <rPr>
        <sz val="11"/>
        <rFont val="Calibri"/>
        <family val="2"/>
        <scheme val="minor"/>
      </rPr>
      <t>, indicating the type of entity and the products and services your entity provides.
- Please note that certain sheets apply to every entity, regardless of the products and services offered. These are marked as “Applicable to all” in column "Rationale for template applicability" in the table below.
- Also note that being asked to fill out a template does not necessarily mean that all data points within that template must be completed. Always follow the specific instructions provided for each data point.</t>
    </r>
  </si>
  <si>
    <r>
      <t xml:space="preserve">Template (sheet) ID
</t>
    </r>
    <r>
      <rPr>
        <i/>
        <sz val="10"/>
        <color theme="1"/>
        <rFont val="Calibri"/>
        <family val="2"/>
        <scheme val="minor"/>
      </rPr>
      <t>Click on link to navigate to sheet</t>
    </r>
  </si>
  <si>
    <t>Section</t>
  </si>
  <si>
    <t>Template name</t>
  </si>
  <si>
    <t>Template applicable to your entity?</t>
  </si>
  <si>
    <t>Rationale for template applicability</t>
  </si>
  <si>
    <t>Applicable template still empty?</t>
  </si>
  <si>
    <t>Template quality status</t>
  </si>
  <si>
    <t>Number of errors</t>
  </si>
  <si>
    <t>Number of warnings</t>
  </si>
  <si>
    <t>Cover page</t>
  </si>
  <si>
    <t>Yes</t>
  </si>
  <si>
    <t>Applicable to all</t>
  </si>
  <si>
    <t>Customers</t>
  </si>
  <si>
    <t>Products</t>
  </si>
  <si>
    <t>AML.01.01.C0090</t>
  </si>
  <si>
    <t>AML.01.01.C0100</t>
  </si>
  <si>
    <t>AML.01.01.C0110</t>
  </si>
  <si>
    <t>AML.01.01.C0120</t>
  </si>
  <si>
    <t>AML.01.01.C0130</t>
  </si>
  <si>
    <t>AML.01.01.C0140</t>
  </si>
  <si>
    <t>Services</t>
  </si>
  <si>
    <t>AML.01.01.C0160</t>
  </si>
  <si>
    <t>AML.01.01.C0170</t>
  </si>
  <si>
    <t>AML.01.01.C0180</t>
  </si>
  <si>
    <t>AML.01.01.C0190</t>
  </si>
  <si>
    <t>AML.01.01.C0200</t>
  </si>
  <si>
    <t>AML.01.01.C0210</t>
  </si>
  <si>
    <t>AML.01.01.C0220</t>
  </si>
  <si>
    <t>AML.01.01.C0260</t>
  </si>
  <si>
    <t>AML.01.01.C0150</t>
  </si>
  <si>
    <t>AML.01.01.C0230</t>
  </si>
  <si>
    <t>AML.01.01.C0240 and AML.01.01.C0250</t>
  </si>
  <si>
    <t>AML.01.01.C0270</t>
  </si>
  <si>
    <t>AML.01.01.C0280</t>
  </si>
  <si>
    <t>AML.01.01.C0290</t>
  </si>
  <si>
    <t>Geographies</t>
  </si>
  <si>
    <t>Distribution</t>
  </si>
  <si>
    <t>AML/CFT Control</t>
  </si>
  <si>
    <t>Total:</t>
  </si>
  <si>
    <t>Template version: 1.0</t>
  </si>
  <si>
    <r>
      <t xml:space="preserve">Mouse here for template's </t>
    </r>
    <r>
      <rPr>
        <b/>
        <sz val="18"/>
        <color theme="1"/>
        <rFont val="Calibri"/>
        <family val="2"/>
        <scheme val="minor"/>
      </rPr>
      <t>INSTRUCTIONS</t>
    </r>
    <r>
      <rPr>
        <b/>
        <sz val="11"/>
        <color theme="1"/>
        <rFont val="Calibri"/>
        <family val="2"/>
        <scheme val="minor"/>
      </rPr>
      <t xml:space="preserve"> </t>
    </r>
  </si>
  <si>
    <t>AML.01.01</t>
  </si>
  <si>
    <t>Basic Information</t>
  </si>
  <si>
    <t xml:space="preserve"> Section-&gt;</t>
  </si>
  <si>
    <t>Entity Identification</t>
  </si>
  <si>
    <t>Products Offered</t>
  </si>
  <si>
    <t>Services Offered</t>
  </si>
  <si>
    <t>Column Title and
instructions -&gt;</t>
  </si>
  <si>
    <t>Legal Entity Identifier (LEI)</t>
  </si>
  <si>
    <t>National Code</t>
  </si>
  <si>
    <t>Legal Name</t>
  </si>
  <si>
    <t>English Name</t>
  </si>
  <si>
    <t>Type of Entity</t>
  </si>
  <si>
    <t>Entity Type – Description for Other FI</t>
  </si>
  <si>
    <t>Country of Establishment</t>
  </si>
  <si>
    <t>Currency of reporting</t>
  </si>
  <si>
    <t>Payment Accounts</t>
  </si>
  <si>
    <t>Virtual IBANs</t>
  </si>
  <si>
    <t>Prepaid Cards</t>
  </si>
  <si>
    <t>Lending/ Factoring</t>
  </si>
  <si>
    <t>Life Insurance Contracts</t>
  </si>
  <si>
    <t>Currency Exchange Involving Cash</t>
  </si>
  <si>
    <t>Custody of Crypto Assets</t>
  </si>
  <si>
    <t>Investment Services</t>
  </si>
  <si>
    <t>Money Remittance</t>
  </si>
  <si>
    <t>Wealth Management</t>
  </si>
  <si>
    <t>Correspondent Services</t>
  </si>
  <si>
    <t>Trade Finance</t>
  </si>
  <si>
    <t>E-money</t>
  </si>
  <si>
    <t>TCSP Services</t>
  </si>
  <si>
    <t>Crypto Services (exchange, transfer)</t>
  </si>
  <si>
    <t>Management of UCITS</t>
  </si>
  <si>
    <t>Management of AIFs</t>
  </si>
  <si>
    <t>Crypto FIAT Cards</t>
  </si>
  <si>
    <t>Safe Custody Services</t>
  </si>
  <si>
    <t>Crowdfunding</t>
  </si>
  <si>
    <t>Cash Transactions</t>
  </si>
  <si>
    <t>Column Code-&gt;</t>
  </si>
  <si>
    <t>C0010</t>
  </si>
  <si>
    <t>C0020</t>
  </si>
  <si>
    <t>C0030</t>
  </si>
  <si>
    <t>C0040</t>
  </si>
  <si>
    <t>C0050</t>
  </si>
  <si>
    <t>C0060</t>
  </si>
  <si>
    <t>C0070</t>
  </si>
  <si>
    <t>C0080</t>
  </si>
  <si>
    <t>C0090</t>
  </si>
  <si>
    <t>C0100</t>
  </si>
  <si>
    <t>C0110</t>
  </si>
  <si>
    <t>C0120</t>
  </si>
  <si>
    <t>C0130</t>
  </si>
  <si>
    <t>C0140</t>
  </si>
  <si>
    <t>C0150</t>
  </si>
  <si>
    <t>C0160</t>
  </si>
  <si>
    <t>C0170</t>
  </si>
  <si>
    <t>C0180</t>
  </si>
  <si>
    <t>C0190</t>
  </si>
  <si>
    <t>C0200</t>
  </si>
  <si>
    <t>C0210</t>
  </si>
  <si>
    <t>C0220</t>
  </si>
  <si>
    <t>C0230</t>
  </si>
  <si>
    <t>C0240</t>
  </si>
  <si>
    <t>C0250</t>
  </si>
  <si>
    <t>C0260</t>
  </si>
  <si>
    <t>C0270</t>
  </si>
  <si>
    <t>C0280</t>
  </si>
  <si>
    <t>C0290</t>
  </si>
  <si>
    <t>Stock or Flow-&gt;</t>
  </si>
  <si>
    <t>Data type-&gt;</t>
  </si>
  <si>
    <t>Alphanumerical</t>
  </si>
  <si>
    <t>LIST_AMLA_00002</t>
  </si>
  <si>
    <t>LIST_AMLA_00003</t>
  </si>
  <si>
    <t>LIST_AMLA_00004</t>
  </si>
  <si>
    <t>LIST_AMLA_00006</t>
  </si>
  <si>
    <t>NOT Applicable to -&gt;</t>
  </si>
  <si>
    <t>Ok or 
Errors?-&gt;</t>
  </si>
  <si>
    <t>Type your data -&gt;</t>
  </si>
  <si>
    <t>AML.01.02</t>
  </si>
  <si>
    <t>Comments</t>
  </si>
  <si>
    <t>Template Reference</t>
  </si>
  <si>
    <t>Column Reference</t>
  </si>
  <si>
    <t>Country Reference</t>
  </si>
  <si>
    <t>Comment Content</t>
  </si>
  <si>
    <t>LIST_AMLA_00007</t>
  </si>
  <si>
    <t>LIST_AMLA_00008</t>
  </si>
  <si>
    <t>LIST_AMLA_00005</t>
  </si>
  <si>
    <t>AML.02.01</t>
  </si>
  <si>
    <t>Customers Template Instructions</t>
  </si>
  <si>
    <t/>
  </si>
  <si>
    <t>Total Customers</t>
  </si>
  <si>
    <t>Natural Persons</t>
  </si>
  <si>
    <t>Legal Entities</t>
  </si>
  <si>
    <t>Natural Persons - PEPs, Family Members or Close Associates</t>
  </si>
  <si>
    <t>Legal Entities – PEPs, Family Members or Close Associates as BOs</t>
  </si>
  <si>
    <t>Active Customers</t>
  </si>
  <si>
    <t>New Customers</t>
  </si>
  <si>
    <t>New Customers - Remote Onboarding</t>
  </si>
  <si>
    <t>New Customers - Third Party Onboarding</t>
  </si>
  <si>
    <t>New Customers - Third Party Onboarding (Non-supervised)</t>
  </si>
  <si>
    <t>Legal Entities - Complex Structure</t>
  </si>
  <si>
    <t>Customers with high-risk activities</t>
  </si>
  <si>
    <t>Legal entities with at least 1 Beneficial Owner resident in non-EEA countries</t>
  </si>
  <si>
    <t>Customers with cross border Transactions - Non-EEA</t>
  </si>
  <si>
    <t>‘Walk-in customers’ with occasional transactions</t>
  </si>
  <si>
    <t>Occasional Transactions carried out by ‘Walk-in customers’</t>
  </si>
  <si>
    <t>Customers with requests from FIU</t>
  </si>
  <si>
    <t>Stock</t>
  </si>
  <si>
    <t>Flow</t>
  </si>
  <si>
    <t>Integer</t>
  </si>
  <si>
    <t>AML.03.01</t>
  </si>
  <si>
    <t>PAYMENT ACCOUNTS</t>
  </si>
  <si>
    <t>Incoming Transactions - Value</t>
  </si>
  <si>
    <t>Incoming Transactions - Number</t>
  </si>
  <si>
    <t>Outgoing Transactions - Value</t>
  </si>
  <si>
    <t>Outgoing Transactions - Number</t>
  </si>
  <si>
    <t>Monetary</t>
  </si>
  <si>
    <t>AML.03.02</t>
  </si>
  <si>
    <t>VIRTUAL IBANS</t>
  </si>
  <si>
    <t>Master Accounts with Linked Virtual IBANs</t>
  </si>
  <si>
    <t>Transactions on vIBANs (Incoming) - Number</t>
  </si>
  <si>
    <t>Transactions on vIBANs (Incoming) - Value</t>
  </si>
  <si>
    <t>Transactions on vIBANs (Outgoing) - Number</t>
  </si>
  <si>
    <t>Transactions on vIBANs (Outgoing) - Value</t>
  </si>
  <si>
    <t>Re-issued Virtual IBANs</t>
  </si>
  <si>
    <t>Re-issued Virtual IBANs - Non-customer End-user</t>
  </si>
  <si>
    <t>AML.03.03</t>
  </si>
  <si>
    <t>PREPAID CARDS</t>
  </si>
  <si>
    <t>Prepaid Cards Issued - Number</t>
  </si>
  <si>
    <t>Prepaid Cards Issued - Value</t>
  </si>
  <si>
    <t>Prepaid Cards - Outstanding Value</t>
  </si>
  <si>
    <t>Customers Using Prepaid Cards</t>
  </si>
  <si>
    <t>Customers with Multiple Prepaid Cards (&gt;3)</t>
  </si>
  <si>
    <t>AML.03.04</t>
  </si>
  <si>
    <t>LENDING AND FACTORING</t>
  </si>
  <si>
    <t>Lending</t>
  </si>
  <si>
    <t>Factoring</t>
  </si>
  <si>
    <t>Outstanding Loans - Number</t>
  </si>
  <si>
    <t>Outstanding Loans - Value</t>
  </si>
  <si>
    <t>Outstanding Real Estate Loans - Number</t>
  </si>
  <si>
    <t>Real Estate Loans with Third-party Payments - Number</t>
  </si>
  <si>
    <t>Loans Granted - Value</t>
  </si>
  <si>
    <t>Asset-backed Loans with Cash Collateral</t>
  </si>
  <si>
    <t>Loan Repayments - Number</t>
  </si>
  <si>
    <t>Premature Loan Repayments - Number</t>
  </si>
  <si>
    <t>Loan Repayments from Non-EEA Countries</t>
  </si>
  <si>
    <t>Unspecified Consumer Loans - Number</t>
  </si>
  <si>
    <t>Factoring Contracts Granted - Number</t>
  </si>
  <si>
    <t>Factoring Contracts Granted - Value</t>
  </si>
  <si>
    <t>Factoring Contracts to Non-EEA Obligors - Value</t>
  </si>
  <si>
    <t>AML.03.05</t>
  </si>
  <si>
    <t>LIFE INSURANCE CONTRACTS</t>
  </si>
  <si>
    <t>Gross Written Premiums - Value</t>
  </si>
  <si>
    <t>Surrender Value of Insurance Contracts</t>
  </si>
  <si>
    <t>Premiums Paid to Broker (%)</t>
  </si>
  <si>
    <t>Non-low Risk Insurance Contracts - Number</t>
  </si>
  <si>
    <t>Percentage</t>
  </si>
  <si>
    <t>AML.03.06</t>
  </si>
  <si>
    <t>CURRENCY EXCHANGE (INVOLVING CASH)</t>
  </si>
  <si>
    <t>Currency Exchange (Involving Cash)</t>
  </si>
  <si>
    <t>Currency Exchange - Sell (Number)</t>
  </si>
  <si>
    <t>Currency Exchange - Buy (Number)</t>
  </si>
  <si>
    <t>Currency Exchange - Sell &gt; EUR 1000 (Number)</t>
  </si>
  <si>
    <t>Currency Exchange - Buy &gt; EUR 1000 (Number)</t>
  </si>
  <si>
    <t>Currency Exchange - Sell (Value)</t>
  </si>
  <si>
    <t>Currency Exchange - Buy (Value)</t>
  </si>
  <si>
    <t>Currency Exchange - Cash-to-Cash (Value)</t>
  </si>
  <si>
    <t>AML.04.01</t>
  </si>
  <si>
    <t>INVESTMENT SERVICES AND ACTIVITIES</t>
  </si>
  <si>
    <t>Invest. Services and Activities - Reception and Transmission of Orders</t>
  </si>
  <si>
    <t>Invest. Services and Activities - Custody Account Keeping</t>
  </si>
  <si>
    <t>Invest. Services and Activities - Portfolio Management</t>
  </si>
  <si>
    <t>Retail Clients (MiFID)</t>
  </si>
  <si>
    <t>Professional Clients (MiFID)</t>
  </si>
  <si>
    <t>Non-EEA AML/CFT Regulated Customers</t>
  </si>
  <si>
    <t>Indirect Custody Assets (%)</t>
  </si>
  <si>
    <t>Total assets under management</t>
  </si>
  <si>
    <t>Customers with Assets &gt;= EUR 5M</t>
  </si>
  <si>
    <t>AML.04.02</t>
  </si>
  <si>
    <t>MONEY REMITTANCE</t>
  </si>
  <si>
    <t>Money Remittance (Incoming) – Number</t>
  </si>
  <si>
    <t>Money Remittance (Outgoing) – Number</t>
  </si>
  <si>
    <t>Money Remittance (Incoming) - Value</t>
  </si>
  <si>
    <t>Money Remittance (Outgoing) - Value</t>
  </si>
  <si>
    <t>Money Remittance (Incoming) &gt; EUR 1000 - Number</t>
  </si>
  <si>
    <t>Money Remittance (Outgoing) &gt; EUR 1000 - Volume</t>
  </si>
  <si>
    <t>AML.04.03</t>
  </si>
  <si>
    <t>WEALTH MANAGEMENT</t>
  </si>
  <si>
    <t>Customers with AUM &gt;= EUR 5M and total assets &gt;= EUR 50M</t>
  </si>
  <si>
    <t>Private Banking Customers (EBA)</t>
  </si>
  <si>
    <t>AML.04.04</t>
  </si>
  <si>
    <t>CORRESPONDENT SERVICES</t>
  </si>
  <si>
    <t>Respondent Client Transactions (Incoming) - Value</t>
  </si>
  <si>
    <t>Respondent Client Transactions (Outgoing) - Value</t>
  </si>
  <si>
    <t>Payable Through Accounts (Incoming) - Value</t>
  </si>
  <si>
    <t>Payable Through Accounts (Outgoing) - Value</t>
  </si>
  <si>
    <t>Nested Accounts (Incoming) - Value</t>
  </si>
  <si>
    <t>Nested Accounts (Outgoing) - Value</t>
  </si>
  <si>
    <t>AML.04.05</t>
  </si>
  <si>
    <t>TRADE FINANCE</t>
  </si>
  <si>
    <t>Trade Finance Customers</t>
  </si>
  <si>
    <t>Trade Finance Transactions (Incoming) - Number</t>
  </si>
  <si>
    <t>Trade Finance Transactions (Outgoing) - Number</t>
  </si>
  <si>
    <t>Trade Finance Transactions (Incoming) - Value</t>
  </si>
  <si>
    <t>Trade Finance Transactions (Outgoing) - Value</t>
  </si>
  <si>
    <t>AML.04.06</t>
  </si>
  <si>
    <t>E-MONEY</t>
  </si>
  <si>
    <t>E-Money</t>
  </si>
  <si>
    <t>E-money Transactions (Incoming) - Volume</t>
  </si>
  <si>
    <t>E-money Transactions (Outgoing) - Number</t>
  </si>
  <si>
    <t>E-money Transactions (Incoming) - Value</t>
  </si>
  <si>
    <t>E-money Transactions (Outgoing) - Value</t>
  </si>
  <si>
    <t>E-money Transactions (Non-identified Customers) - Value</t>
  </si>
  <si>
    <t>AML.04.07</t>
  </si>
  <si>
    <t>TCSP SERVICES</t>
  </si>
  <si>
    <t>TCSP Customers (Legal Entities)</t>
  </si>
  <si>
    <t>AML.04.08</t>
  </si>
  <si>
    <t>CRYPTO FIAT CARDS</t>
  </si>
  <si>
    <t>Non-EEA Crypto Companies (BIN-sponsored)</t>
  </si>
  <si>
    <t>AML.04.09</t>
  </si>
  <si>
    <t>PROVIDING CUSTODY AND ADMINISTRATION OF CRYPTO-ASSETS ON BEHALF OF CLIENTS</t>
  </si>
  <si>
    <t>Customers holding Crypto-assets - Number</t>
  </si>
  <si>
    <t>Crypto Assets in Custody - Value</t>
  </si>
  <si>
    <t>AML.04.10</t>
  </si>
  <si>
    <t>CRYPTO SERVICES</t>
  </si>
  <si>
    <t>Exchange Funds for Crypto-Assets</t>
  </si>
  <si>
    <t>Exchange Crypto-Assets for Funds</t>
  </si>
  <si>
    <t>Exchange Cypto-Assets For other Arypto-Assets</t>
  </si>
  <si>
    <t>PROVIDING TRANSFER SERVICES FOR CRYPTO-ASSETS ON BEHALF OF CLIENTS</t>
  </si>
  <si>
    <t>Funds-to-Crypto - Value</t>
  </si>
  <si>
    <t>Funds-to-Crypto – Number</t>
  </si>
  <si>
    <t>Funds to Crypto - Customers</t>
  </si>
  <si>
    <t>Funds-to-Crypto (to Self-hosted) – Number</t>
  </si>
  <si>
    <t>Crypto-to-Funds - Value</t>
  </si>
  <si>
    <t>Crypto-to-Funds - Number</t>
  </si>
  <si>
    <t>Crypto-to-Funds - Customers</t>
  </si>
  <si>
    <t>Crypto-to-Funds (from Self-hosted) - Number</t>
  </si>
  <si>
    <t>Crypto-to-Crypto - Value</t>
  </si>
  <si>
    <t>Crypto-to-Crypto - Customers</t>
  </si>
  <si>
    <t>Crypto-to-Crypto - Number</t>
  </si>
  <si>
    <t>Crypto-to-Crypto (to Self-hosted) - Number</t>
  </si>
  <si>
    <t>Crypto-to-Crypto (from Self-hosted) - Number</t>
  </si>
  <si>
    <t>Transfers - Value</t>
  </si>
  <si>
    <t>Transfers - Customers</t>
  </si>
  <si>
    <t>Transfers - Number</t>
  </si>
  <si>
    <t>Transfers (to Self-hosted) – Number</t>
  </si>
  <si>
    <t>Transfers (from Self-hosted) - Number</t>
  </si>
  <si>
    <t>AML.04.11</t>
  </si>
  <si>
    <t>MANAGEMENT OF UCITS AND AIFS</t>
  </si>
  <si>
    <t>Management of UCITS - Retail Investors</t>
  </si>
  <si>
    <t>Management of UCITS - Professional Investors</t>
  </si>
  <si>
    <t>Management of UCITS - Total AUM</t>
  </si>
  <si>
    <t>Management of AIFs - Retail Investors</t>
  </si>
  <si>
    <t>Management of AIFs - Professional Investors</t>
  </si>
  <si>
    <t>Open-ended Funds - Number</t>
  </si>
  <si>
    <t>Closed-ended Funds - Number</t>
  </si>
  <si>
    <t>Management of AIFs - Total AUM</t>
  </si>
  <si>
    <t>Management of AIFs - Total AUM in unlisted assets</t>
  </si>
  <si>
    <t>AML.04.12</t>
  </si>
  <si>
    <t>SAFE CUSTODY SERVICES</t>
  </si>
  <si>
    <t>Customers Using Safe Deposit Boxes</t>
  </si>
  <si>
    <t>AML.04.13</t>
  </si>
  <si>
    <t>CROWDFUNDING</t>
  </si>
  <si>
    <t>Funding Projects - Value</t>
  </si>
  <si>
    <t>Projects Funded - Number</t>
  </si>
  <si>
    <t>Donors from High-risk Countries</t>
  </si>
  <si>
    <t>Projects with High-risk Country Owners</t>
  </si>
  <si>
    <t>AML.04.14</t>
  </si>
  <si>
    <t>CASH TRANSACTIONS</t>
  </si>
  <si>
    <t>Cash Transactions (Withdrawals) - Number</t>
  </si>
  <si>
    <t>Cash Transactions (Deposits) - Volume</t>
  </si>
  <si>
    <t>Cash Transactions (Withdrawals) - Value</t>
  </si>
  <si>
    <t>Cash Transactions (Deposits) - Value</t>
  </si>
  <si>
    <t>Customers with Cash Transactions &gt; EUR 20 000</t>
  </si>
  <si>
    <t>AML.05.01</t>
  </si>
  <si>
    <t>Country</t>
  </si>
  <si>
    <t>Natural Persons – PEPs, Family Members or Close Associates</t>
  </si>
  <si>
    <t>Transactions (Incoming) – Number</t>
  </si>
  <si>
    <t>Transactions (Incoming) - Value</t>
  </si>
  <si>
    <t>Transactions (Outgoing) - Number</t>
  </si>
  <si>
    <t>Transactions (Outgoing) - Value</t>
  </si>
  <si>
    <t>CIU Investment Flows - Value</t>
  </si>
  <si>
    <t>Investors</t>
  </si>
  <si>
    <t>Assets under Management - Value</t>
  </si>
  <si>
    <t>Respondent Institutions</t>
  </si>
  <si>
    <t>Respondent Client Funds (Incoming) - Value</t>
  </si>
  <si>
    <t>Respondent Client Funds (Outgoing) - Value</t>
  </si>
  <si>
    <t>Number of branches by country</t>
  </si>
  <si>
    <t>Number of subsidiaries by country</t>
  </si>
  <si>
    <t>AML.06.01</t>
  </si>
  <si>
    <t>Distribution Channels</t>
  </si>
  <si>
    <t>Number of agents by country</t>
  </si>
  <si>
    <t>Number of distributors by country</t>
  </si>
  <si>
    <t>Gross Written Premiums through Brokers - Value</t>
  </si>
  <si>
    <t>White Labelling Partners by country</t>
  </si>
  <si>
    <t>AML.07.01</t>
  </si>
  <si>
    <t>Governance/Culture and Compliance</t>
  </si>
  <si>
    <t>Governance/Culture and Compliance Function</t>
  </si>
  <si>
    <t>Last AML/CFT Compliance Check</t>
  </si>
  <si>
    <t>Dedicated AML/CFT Staff (FTE)</t>
  </si>
  <si>
    <t>AML Training - Compliance Staff (%)</t>
  </si>
  <si>
    <t>AML Training - Non-AML/CFT Compliance Personnel</t>
  </si>
  <si>
    <t>AML Training - Agents and Distributors (%)</t>
  </si>
  <si>
    <t>AML Training - Members of the management body (%)</t>
  </si>
  <si>
    <t>flow</t>
  </si>
  <si>
    <t>Date</t>
  </si>
  <si>
    <t>Decimal</t>
  </si>
  <si>
    <t>AML.07.02</t>
  </si>
  <si>
    <t>Internal compliance reporting - outsourcing and audit</t>
  </si>
  <si>
    <t>Internal Controls and outsourcing</t>
  </si>
  <si>
    <t>Frequency of AML reporting to the management body</t>
  </si>
  <si>
    <t>Outsourcing - CDD</t>
  </si>
  <si>
    <t>Outsourcing - Training</t>
  </si>
  <si>
    <t>Outsourcing - Transaction Monitoring</t>
  </si>
  <si>
    <t>Outsourcing - Suspicious Transaction or Activity Reports</t>
  </si>
  <si>
    <t>Outsourcing - Sanctions Screening Tasks</t>
  </si>
  <si>
    <t>Outsourcing - PEP status</t>
  </si>
  <si>
    <t>Outsourcing - Compliance Monitoring Checks</t>
  </si>
  <si>
    <t>Outsourcing - Third Country (Non-group)</t>
  </si>
  <si>
    <t>Outsourcing - Third Country (Intra-group)</t>
  </si>
  <si>
    <t>Last Audit - BWRA</t>
  </si>
  <si>
    <t>Last Audit - Customers ML/TF Risk Profile</t>
  </si>
  <si>
    <t>Last Audit – Assessment AML/CFT Training measures</t>
  </si>
  <si>
    <t>Last Audit - Identification and Verification Procedures</t>
  </si>
  <si>
    <t>Last Audit - Policies and Procedures for Monitoring and Analysing Business Relationships</t>
  </si>
  <si>
    <t>Last Audit - Suspicious Transaction or Activity Reporting Procedures</t>
  </si>
  <si>
    <t>Last Audit - Record-keeping Policies and Procedures</t>
  </si>
  <si>
    <t>Last Audit - Resources dedicated to AML/CFT</t>
  </si>
  <si>
    <t>Last Audit - Organisation of the AML/CFT System, Governance and Reporting Arrangements</t>
  </si>
  <si>
    <t>LIST_AMLA_00009</t>
  </si>
  <si>
    <t>LIST_AMLA_00010</t>
  </si>
  <si>
    <t>AML.07.03</t>
  </si>
  <si>
    <t>Risk Assessment</t>
  </si>
  <si>
    <t>Risk Assesment</t>
  </si>
  <si>
    <t>Last approval date of the BWRA</t>
  </si>
  <si>
    <t>Senior Management Approval (BWRA)</t>
  </si>
  <si>
    <t>Date of the last update of the CRA</t>
  </si>
  <si>
    <t>Customers - Low Risk</t>
  </si>
  <si>
    <t>Customers - Medium-low Risk</t>
  </si>
  <si>
    <t>Customers - Medium-high Risk</t>
  </si>
  <si>
    <t>Customers - High Risk</t>
  </si>
  <si>
    <t>No</t>
  </si>
  <si>
    <t>AML.07.04</t>
  </si>
  <si>
    <t>Customer Due Diligence and Monitoring</t>
  </si>
  <si>
    <t>Customers – LE/Trusts with BO Not Identified</t>
  </si>
  <si>
    <t>Customers – LE/Trusts With BO Identified Not Verified</t>
  </si>
  <si>
    <t>Customers – Missing ID/Verification Documentation</t>
  </si>
  <si>
    <t>Customers – CDD Not Compliant with Article 20 AMLR</t>
  </si>
  <si>
    <t>Customers – Without ML/TF Risk Profile</t>
  </si>
  <si>
    <t>Customers – Information Reviews Due</t>
  </si>
  <si>
    <t>Customers – Information Updates Completed</t>
  </si>
  <si>
    <t>AML.07.05</t>
  </si>
  <si>
    <t>Transaction Monitoring and Suspicious Activity Reporting</t>
  </si>
  <si>
    <t>Transaction Monitoring – Type of Monitoring System</t>
  </si>
  <si>
    <t>Transaction Monitoring – Not Automated</t>
  </si>
  <si>
    <t>Transaction Monitoring – At Least Partially Automated System</t>
  </si>
  <si>
    <t>Suspicious Activity Reporting</t>
  </si>
  <si>
    <t>The Obliged Entity Has a Transaction/ Monitoring System in Place</t>
  </si>
  <si>
    <t>Transaction / Activity Monitoring System Type</t>
  </si>
  <si>
    <t>If manual system: Average Alert Analysis Time (Days)</t>
  </si>
  <si>
    <t>Automated Monitoring System - Alerts on Inconsistencies with Expected Number of Transactions</t>
  </si>
  <si>
    <t>Automated Monitoring System -Alerts on Inconsistencies with Expected Value of Aggregated Transactions</t>
  </si>
  <si>
    <t>Automated Monitoring System –Alerts on Inconsistencies with Expected Value of Single Transactions</t>
  </si>
  <si>
    <t>Automated Monitoring System – Alerts on Inconsistencies with Expected Counterparties</t>
  </si>
  <si>
    <t>Automated Monitoring System - CDD Inconsistencies: Alerts on Countries</t>
  </si>
  <si>
    <t>If automated system: Alerts Pending</t>
  </si>
  <si>
    <t>If automated system: Average Alert Analysis Time (Days)</t>
  </si>
  <si>
    <t>If automated system: total number of alerts</t>
  </si>
  <si>
    <t>If automated system: total number of STRs submitted to the FIU</t>
  </si>
  <si>
    <t>DLT/Blockchain Analysis Tool</t>
  </si>
  <si>
    <t>Average STR Processing Time (Days)</t>
  </si>
  <si>
    <t>STRs Submitted (Total)</t>
  </si>
  <si>
    <t>LIST_AMLA_00011</t>
  </si>
  <si>
    <t>AML.07.06</t>
  </si>
  <si>
    <t>Targeted Financial Sanctions and Compliance with Fund Transfers Regulation</t>
  </si>
  <si>
    <t>TFS Implementation Time (Hours)</t>
  </si>
  <si>
    <t>Outbound Transfers with Information Requests (RFI)</t>
  </si>
  <si>
    <t>Total Outbound Transfers</t>
  </si>
  <si>
    <t>Rejected/Returned Outbound Transfers (%)</t>
  </si>
  <si>
    <t>AML.07.07</t>
  </si>
  <si>
    <t>Group-wide AML/CFT Framework</t>
  </si>
  <si>
    <t>Transaction Monitoring and Suspicious Activity Monitoring</t>
  </si>
  <si>
    <t>Group Reporting - Group Entities Reporting on CDD</t>
  </si>
  <si>
    <t>Group Reporting - Group Entities Reporting on Ongoing Monitoring</t>
  </si>
  <si>
    <t>Group Reporting - Group Entities Reporting on STRs</t>
  </si>
  <si>
    <t>Group Reporting - Group Entities Reporting on Identity and Transaction-level Information on High-risk Customers</t>
  </si>
  <si>
    <t>Group Reporting - Group Entities Reporting on Deficiencies</t>
  </si>
  <si>
    <t>Group Reporting - Jurisdictions subject to Compliance Reviews</t>
  </si>
  <si>
    <t>Group Entities with Deficiencies (within EU/EEA)</t>
  </si>
  <si>
    <t>Group Entities with Deficiencies (outside EU/EEA)</t>
  </si>
  <si>
    <t>Select your type of entity to highlight the applicable templates -&gt;&gt;</t>
  </si>
  <si>
    <t>Life insurance undertakings</t>
  </si>
  <si>
    <t>Templates Applicability Matrix</t>
  </si>
  <si>
    <r>
      <t xml:space="preserve">The column linking to templates serves to identify the list of tables that are applicable depending on the type of obliged entity.
Please note that </t>
    </r>
    <r>
      <rPr>
        <b/>
        <sz val="14"/>
        <color theme="1"/>
        <rFont val="Calibri"/>
        <family val="2"/>
        <scheme val="minor"/>
      </rPr>
      <t>NOT all tables, sections, and/or data points within them may be required for your entity, as this ultimately depends on the activities and services you provide.</t>
    </r>
    <r>
      <rPr>
        <sz val="14"/>
        <color theme="1"/>
        <rFont val="Calibri"/>
        <family val="2"/>
        <scheme val="minor"/>
      </rPr>
      <t xml:space="preserve">
</t>
    </r>
    <r>
      <rPr>
        <b/>
        <sz val="14"/>
        <color theme="1"/>
        <rFont val="Calibri"/>
        <family val="2"/>
        <scheme val="minor"/>
      </rPr>
      <t xml:space="preserve">However, selecting a category may not mean that only the templates for that category must be submitted. You must submit all templates relevant to the actual business activities of the entity.
</t>
    </r>
    <r>
      <rPr>
        <sz val="14"/>
        <color theme="1"/>
        <rFont val="Calibri"/>
        <family val="2"/>
        <scheme val="minor"/>
      </rPr>
      <t xml:space="preserve">Please refer to the Interpretative Note instructions, the relevant non‑applicability indicators within the tables, and the validation rules to understand your reporting obligations.
</t>
    </r>
    <r>
      <rPr>
        <b/>
        <sz val="14"/>
        <color theme="1"/>
        <rFont val="Calibri"/>
        <family val="2"/>
        <scheme val="minor"/>
      </rPr>
      <t>The first template to fill out your data is always AML.01.01 Basic Information</t>
    </r>
  </si>
  <si>
    <t>Template Code</t>
  </si>
  <si>
    <t>Credit Institutions CI</t>
  </si>
  <si>
    <t>Credit Providers
CP</t>
  </si>
  <si>
    <t>Life Insurance
LI</t>
  </si>
  <si>
    <t>E money Institutions
EMI</t>
  </si>
  <si>
    <t>Payment Institutions
PI</t>
  </si>
  <si>
    <t>Bureau de Change
BC</t>
  </si>
  <si>
    <t>Investment Firms
IF</t>
  </si>
  <si>
    <t>Asset Management Companies
AMC</t>
  </si>
  <si>
    <t>Crypto-asset Service Providers
CASP</t>
  </si>
  <si>
    <t>Other Financial Institutions
O</t>
  </si>
  <si>
    <t>Payment accounts</t>
  </si>
  <si>
    <t>Prepaid cards</t>
  </si>
  <si>
    <t>Lending and Factoring</t>
  </si>
  <si>
    <t>Life insurance contracts</t>
  </si>
  <si>
    <t>Currency exchange (involving cash)</t>
  </si>
  <si>
    <t>Investment services</t>
  </si>
  <si>
    <t>Money remittance</t>
  </si>
  <si>
    <t>Wealth management</t>
  </si>
  <si>
    <t>Correspondence services</t>
  </si>
  <si>
    <t>Trade finance</t>
  </si>
  <si>
    <t>TCSP services</t>
  </si>
  <si>
    <t>Crypto fiat cards</t>
  </si>
  <si>
    <t>Custody of crypto assets</t>
  </si>
  <si>
    <t>Crypto Services</t>
  </si>
  <si>
    <t>Management of UCITS/AIFS</t>
  </si>
  <si>
    <t>Safe custody services</t>
  </si>
  <si>
    <t>Cash transactions</t>
  </si>
  <si>
    <t>Distribution channels</t>
  </si>
  <si>
    <t>LIST_AMLA_00001_Code</t>
  </si>
  <si>
    <t>LIST_AMLA_00001_EBACode</t>
  </si>
  <si>
    <t>LIST_AMLA_00001_Label</t>
  </si>
  <si>
    <t>LIST_AMLA_00001_Dropdown</t>
  </si>
  <si>
    <t>CountryCode</t>
  </si>
  <si>
    <t>LIST_AMLA_00002_Code</t>
  </si>
  <si>
    <t>LIST_AMLA_00002_Label</t>
  </si>
  <si>
    <t>LIST_AMLA_00002_Dropdown</t>
  </si>
  <si>
    <t>LIST_AMLA_00003_Code</t>
  </si>
  <si>
    <t>LIST_AMLA_00003_Label</t>
  </si>
  <si>
    <t>LIST_AMLA_00003_Dropdown</t>
  </si>
  <si>
    <t>LIST_AMLA_00004_Code</t>
  </si>
  <si>
    <t>LIST_AMLA_00004_Label</t>
  </si>
  <si>
    <t>LIST_AMLA_00004_Dropdown</t>
  </si>
  <si>
    <t>LIST_AMLA_00005_Code</t>
  </si>
  <si>
    <t>LIST_AMLA_00005_Label</t>
  </si>
  <si>
    <t>LIST_AMLA_00005_Dropdown</t>
  </si>
  <si>
    <t>LIST_AMLA_00006_Code</t>
  </si>
  <si>
    <t>LIST_AMLA_00006_Label</t>
  </si>
  <si>
    <t>LIST_AMLA_00006_Dropdown</t>
  </si>
  <si>
    <t>LIST_AMLA_00007_Code</t>
  </si>
  <si>
    <t>LIST_AMLA_00007_Label</t>
  </si>
  <si>
    <t>LIST_AMLA_00007_Dropdown</t>
  </si>
  <si>
    <t>LIST_AMLA_00008_Code</t>
  </si>
  <si>
    <t>LIST_AMLA_00008_Label</t>
  </si>
  <si>
    <t>LIST_AMLA_00008_Dropdown</t>
  </si>
  <si>
    <t>LIST_AMLA_00009_Code</t>
  </si>
  <si>
    <t>LIST_AMLA_00009_Label</t>
  </si>
  <si>
    <t>LIST_AMLA_00009_Dropdown</t>
  </si>
  <si>
    <t>LIST_AMLA_00010_Code</t>
  </si>
  <si>
    <t>LIST_AMLA_00010_Label</t>
  </si>
  <si>
    <t>LIST_AMLA_00010_Dropdown</t>
  </si>
  <si>
    <t>LIST_AMLA_00011_Code</t>
  </si>
  <si>
    <t>LIST_AMLA_00011_Label</t>
  </si>
  <si>
    <t>LIST_AMLA_00011_Dropdown</t>
  </si>
  <si>
    <t>AT_SUP_01</t>
  </si>
  <si>
    <t>eba_GA:x52</t>
  </si>
  <si>
    <t>Financial Market Authority</t>
  </si>
  <si>
    <t>AT</t>
  </si>
  <si>
    <t>Credit institutions</t>
  </si>
  <si>
    <t>eba_GA:AT</t>
  </si>
  <si>
    <t>Austria</t>
  </si>
  <si>
    <t>eba_CU:EUR</t>
  </si>
  <si>
    <t>EUR - Euro</t>
  </si>
  <si>
    <t>eba_GA:AF</t>
  </si>
  <si>
    <t>AF</t>
  </si>
  <si>
    <t>Afghanistan</t>
  </si>
  <si>
    <t>eba_qBT:qx2002</t>
  </si>
  <si>
    <t>eba_ZZ:x994</t>
  </si>
  <si>
    <t>eba_ZZ:x1021</t>
  </si>
  <si>
    <t>eba_qRF:qx2135</t>
  </si>
  <si>
    <t>Never</t>
  </si>
  <si>
    <t>eba_qTA:qx2272</t>
  </si>
  <si>
    <t>Totally outsourced</t>
  </si>
  <si>
    <t>eba_qEN:qx2001</t>
  </si>
  <si>
    <t>Not automated</t>
  </si>
  <si>
    <t>AT_SUP_03</t>
  </si>
  <si>
    <t>eba_GA:x2020</t>
  </si>
  <si>
    <t>Trade authority (Federal Ministry for Economy, Energy and Tourism and Trade Authorities in the Austrian Länder)</t>
  </si>
  <si>
    <t>eba_qTE:qx2083</t>
  </si>
  <si>
    <t>eba_GA:BE</t>
  </si>
  <si>
    <t>BE</t>
  </si>
  <si>
    <t>Belgium</t>
  </si>
  <si>
    <t>eba_CU:CZK</t>
  </si>
  <si>
    <t>CZK - Czech koruna</t>
  </si>
  <si>
    <t>eba_GA:AL</t>
  </si>
  <si>
    <t>AL</t>
  </si>
  <si>
    <t>Albania</t>
  </si>
  <si>
    <t>eba_qBT:qx2003</t>
  </si>
  <si>
    <t>eba_ZZ:x995</t>
  </si>
  <si>
    <t>eba_ZZ:x1022</t>
  </si>
  <si>
    <t>eba_qRF:qx2136</t>
  </si>
  <si>
    <t>Monthly</t>
  </si>
  <si>
    <t>eba_qTA:qx2273</t>
  </si>
  <si>
    <t>Partially outsourced</t>
  </si>
  <si>
    <t>eba_qEN:qx2002</t>
  </si>
  <si>
    <t>At least partially automated</t>
  </si>
  <si>
    <t>BE_SUP_01</t>
  </si>
  <si>
    <t>eba_GA:x53</t>
  </si>
  <si>
    <t>National Bank of Belgium</t>
  </si>
  <si>
    <t>eba_qTE:qx2084</t>
  </si>
  <si>
    <t>Life insurance intermediaries</t>
  </si>
  <si>
    <t>eba_GA:BG</t>
  </si>
  <si>
    <t>BG</t>
  </si>
  <si>
    <t>Bulgaria</t>
  </si>
  <si>
    <t>eba_CU:DKK</t>
  </si>
  <si>
    <t>DKK - Danish krone</t>
  </si>
  <si>
    <t>eba_GA:DZ</t>
  </si>
  <si>
    <t>DZ</t>
  </si>
  <si>
    <t>Algeria</t>
  </si>
  <si>
    <t>eba_ZZ:x996</t>
  </si>
  <si>
    <t>eba_ZZ:x1023</t>
  </si>
  <si>
    <t>eba_qRF:qx2092</t>
  </si>
  <si>
    <t>Quarterly</t>
  </si>
  <si>
    <t>eba_qTA:qx2274</t>
  </si>
  <si>
    <t>Not outsourced</t>
  </si>
  <si>
    <t>BE_SUP_02</t>
  </si>
  <si>
    <t>eba_GA:x54</t>
  </si>
  <si>
    <t xml:space="preserve">Financial Services and Markets Authority </t>
  </si>
  <si>
    <t>eba_qTE:qx2085</t>
  </si>
  <si>
    <t>E money institutions</t>
  </si>
  <si>
    <t>eba_GA:HR</t>
  </si>
  <si>
    <t>HR</t>
  </si>
  <si>
    <t>Croatia</t>
  </si>
  <si>
    <t>eba_CU:HUF</t>
  </si>
  <si>
    <t>HUF - Hungarian forint</t>
  </si>
  <si>
    <t>eba_GA:AS</t>
  </si>
  <si>
    <t>AS</t>
  </si>
  <si>
    <t>American Samoa</t>
  </si>
  <si>
    <t>eba_ZZ:x997</t>
  </si>
  <si>
    <t>eba_ZZ:x1024</t>
  </si>
  <si>
    <t>eba_qRF:qx2137</t>
  </si>
  <si>
    <t>Half-yearly</t>
  </si>
  <si>
    <t>BE_SUP_03</t>
  </si>
  <si>
    <t>eba_GA:x2021</t>
  </si>
  <si>
    <t>FPS Economy, SMEs, Middle Classes, and Energy</t>
  </si>
  <si>
    <t>eba_qTE:qx2086</t>
  </si>
  <si>
    <t>Payment institutions</t>
  </si>
  <si>
    <t>eba_GA:CY</t>
  </si>
  <si>
    <t>CY</t>
  </si>
  <si>
    <t>Cyprus</t>
  </si>
  <si>
    <t>eba_CU:PLN</t>
  </si>
  <si>
    <t>PLN - Polish złoty</t>
  </si>
  <si>
    <t>eba_GA:AD</t>
  </si>
  <si>
    <t>AD</t>
  </si>
  <si>
    <t>Andorra</t>
  </si>
  <si>
    <t>eba_ZZ:x998</t>
  </si>
  <si>
    <t>eba_ZZ:x1025</t>
  </si>
  <si>
    <t>eba_qRF:qx2138</t>
  </si>
  <si>
    <t>Yearly</t>
  </si>
  <si>
    <t>BG_SUP_01</t>
  </si>
  <si>
    <t>eba_GA:x55</t>
  </si>
  <si>
    <t>Bulgarian National Bank – Banking Supervision Department</t>
  </si>
  <si>
    <t>eba_qTE:qx2087</t>
  </si>
  <si>
    <t>Bureau de change</t>
  </si>
  <si>
    <t>eba_GA:CZ</t>
  </si>
  <si>
    <t>CZ</t>
  </si>
  <si>
    <t>Czech Republic</t>
  </si>
  <si>
    <t>eba_CU:RON</t>
  </si>
  <si>
    <t>RON - Romanian leu</t>
  </si>
  <si>
    <t>eba_GA:AO</t>
  </si>
  <si>
    <t>AO</t>
  </si>
  <si>
    <t>Angola</t>
  </si>
  <si>
    <t>eba_ZZ:x999</t>
  </si>
  <si>
    <t>eba_ZZ:x1026</t>
  </si>
  <si>
    <t>BG_SUP_02</t>
  </si>
  <si>
    <t>eba_GA:x2022</t>
  </si>
  <si>
    <t>Bulgarian National Bank – Banking Department</t>
  </si>
  <si>
    <t>eba_qTE:qx2024</t>
  </si>
  <si>
    <t>Investment firms</t>
  </si>
  <si>
    <t>eba_GA:DK</t>
  </si>
  <si>
    <t>DK</t>
  </si>
  <si>
    <t>Denmark</t>
  </si>
  <si>
    <t>eba_CU:SEK</t>
  </si>
  <si>
    <t>SEK - Swedish krona</t>
  </si>
  <si>
    <t>eba_GA:AI</t>
  </si>
  <si>
    <t>AI</t>
  </si>
  <si>
    <t>Anguilla</t>
  </si>
  <si>
    <t>eba_ZZ:x1000</t>
  </si>
  <si>
    <t>eba_ZZ:x1027</t>
  </si>
  <si>
    <t>BG_SUP_03</t>
  </si>
  <si>
    <t>eba_GA:x56</t>
  </si>
  <si>
    <t>Financial supervision commission</t>
  </si>
  <si>
    <t>eba_qTE:qx2088</t>
  </si>
  <si>
    <t>Asset management companies</t>
  </si>
  <si>
    <t>eba_GA:EE</t>
  </si>
  <si>
    <t>EE</t>
  </si>
  <si>
    <t>Estonia</t>
  </si>
  <si>
    <t>eba_GA:AQ</t>
  </si>
  <si>
    <t>AQ</t>
  </si>
  <si>
    <t>Antarctica</t>
  </si>
  <si>
    <t>eba_ZZ:x1001</t>
  </si>
  <si>
    <t>eba_ZZ:x1028</t>
  </si>
  <si>
    <t>BG_SUP_04</t>
  </si>
  <si>
    <t>eba_GA:x2023</t>
  </si>
  <si>
    <t>State Agency for National Security - Financial Intelligence Directorate</t>
  </si>
  <si>
    <t>eba_qTE:qx2089</t>
  </si>
  <si>
    <t>CASP</t>
  </si>
  <si>
    <t>eba_GA:FI</t>
  </si>
  <si>
    <t>FI</t>
  </si>
  <si>
    <t>Finland</t>
  </si>
  <si>
    <t>eba_GA:AG</t>
  </si>
  <si>
    <t>AG</t>
  </si>
  <si>
    <t>Antigua and Barbuda</t>
  </si>
  <si>
    <t>eba_ZZ:x1002</t>
  </si>
  <si>
    <t>eba_ZZ:x1029</t>
  </si>
  <si>
    <t>HR_SUP_01</t>
  </si>
  <si>
    <t>eba_GA:x69</t>
  </si>
  <si>
    <t>Croatian National Bank</t>
  </si>
  <si>
    <t>eba_qTE:qx2090</t>
  </si>
  <si>
    <t>Other financial institutions</t>
  </si>
  <si>
    <t>eba_GA:FR</t>
  </si>
  <si>
    <t>FR</t>
  </si>
  <si>
    <t>France</t>
  </si>
  <si>
    <t>eba_GA:AR</t>
  </si>
  <si>
    <t>AR</t>
  </si>
  <si>
    <t>Argentina</t>
  </si>
  <si>
    <t>eba_ZZ:x1003</t>
  </si>
  <si>
    <t>eba_ZZ:x1030</t>
  </si>
  <si>
    <t>HR_SUP_02</t>
  </si>
  <si>
    <t>eba_GA:x70</t>
  </si>
  <si>
    <t>Croatian Financial Services Supervisory Agency</t>
  </si>
  <si>
    <t>eba_GA:DE</t>
  </si>
  <si>
    <t>DE</t>
  </si>
  <si>
    <t>Germany</t>
  </si>
  <si>
    <t>eba_GA:AM</t>
  </si>
  <si>
    <t>AM</t>
  </si>
  <si>
    <t>Armenia</t>
  </si>
  <si>
    <t>eba_ZZ:x1004</t>
  </si>
  <si>
    <t>eba_ZZ:x1031</t>
  </si>
  <si>
    <t>HR_SUP_03</t>
  </si>
  <si>
    <t>eba_GA:x2024</t>
  </si>
  <si>
    <t>MINISTRY OF FINANCE, FINANCIAL INSPECTORATE</t>
  </si>
  <si>
    <t>eba_GA:GR</t>
  </si>
  <si>
    <t>GR</t>
  </si>
  <si>
    <t>Greece</t>
  </si>
  <si>
    <t>eba_GA:AW</t>
  </si>
  <si>
    <t>AW</t>
  </si>
  <si>
    <t>Aruba</t>
  </si>
  <si>
    <t>eba_ZZ:x1005</t>
  </si>
  <si>
    <t>eba_ZZ:x1032</t>
  </si>
  <si>
    <t>CY_SUP_01</t>
  </si>
  <si>
    <t>eba_GA:x57</t>
  </si>
  <si>
    <t>Central Bank of Cyprus</t>
  </si>
  <si>
    <t>eba_GA:HU</t>
  </si>
  <si>
    <t>HU</t>
  </si>
  <si>
    <t>Hungary</t>
  </si>
  <si>
    <t>eba_GA:AU</t>
  </si>
  <si>
    <t>AU</t>
  </si>
  <si>
    <t>Australia</t>
  </si>
  <si>
    <t>eba_ZZ:x1006</t>
  </si>
  <si>
    <t>eba_ZZ:x1033</t>
  </si>
  <si>
    <t>CY_SUP_02</t>
  </si>
  <si>
    <t>eba_GA:x58</t>
  </si>
  <si>
    <t>Cyprus Securities and Exchange Commission</t>
  </si>
  <si>
    <t>eba_GA:IE</t>
  </si>
  <si>
    <t>IE</t>
  </si>
  <si>
    <t>Ireland</t>
  </si>
  <si>
    <t>eba_ZZ:x1007</t>
  </si>
  <si>
    <t>eba_ZZ:x1034</t>
  </si>
  <si>
    <t>CY_SUP_04</t>
  </si>
  <si>
    <t>eba_GA:x2025</t>
  </si>
  <si>
    <t>Superintendent of Insurance</t>
  </si>
  <si>
    <t>eba_GA:IT</t>
  </si>
  <si>
    <t>IT</t>
  </si>
  <si>
    <t>Italy</t>
  </si>
  <si>
    <t>eba_GA:AZ</t>
  </si>
  <si>
    <t>AZ</t>
  </si>
  <si>
    <t>Azerbaijan</t>
  </si>
  <si>
    <t>eba_ZZ:x1008</t>
  </si>
  <si>
    <t>eba_ZZ:x1035</t>
  </si>
  <si>
    <t>CZ_SUP_01</t>
  </si>
  <si>
    <t>eba_GA:x59</t>
  </si>
  <si>
    <t>Czech National Bank</t>
  </si>
  <si>
    <t>eba_GA:LV</t>
  </si>
  <si>
    <t>LV</t>
  </si>
  <si>
    <t>Latvia</t>
  </si>
  <si>
    <t>eba_GA:BS</t>
  </si>
  <si>
    <t>BS</t>
  </si>
  <si>
    <t>Bahamas (the)</t>
  </si>
  <si>
    <t>eba_ZZ:x1009</t>
  </si>
  <si>
    <t>eba_ZZ:x1036</t>
  </si>
  <si>
    <t>DE_SUP_01</t>
  </si>
  <si>
    <t>eba_GA:x60</t>
  </si>
  <si>
    <t>Federal Financial Supervisory Authority</t>
  </si>
  <si>
    <t>eba_GA:LT</t>
  </si>
  <si>
    <t>LT</t>
  </si>
  <si>
    <t>Lithuania</t>
  </si>
  <si>
    <t>eba_GA:BH</t>
  </si>
  <si>
    <t>BH</t>
  </si>
  <si>
    <t>Bahrain</t>
  </si>
  <si>
    <t>eba_ZZ:x1010</t>
  </si>
  <si>
    <t>eba_ZZ:x1037</t>
  </si>
  <si>
    <t>DK_SUP_01</t>
  </si>
  <si>
    <t>eba_GA:x62</t>
  </si>
  <si>
    <t>Danish Financial Supervisory Authority</t>
  </si>
  <si>
    <t>eba_GA:LU</t>
  </si>
  <si>
    <t>LU</t>
  </si>
  <si>
    <t>Luxembourg</t>
  </si>
  <si>
    <t>eba_GA:BD</t>
  </si>
  <si>
    <t>BD</t>
  </si>
  <si>
    <t>Bangladesh</t>
  </si>
  <si>
    <t>eba_ZZ:x1011</t>
  </si>
  <si>
    <t>eba_ZZ:x1038</t>
  </si>
  <si>
    <t>EE_SUP_01</t>
  </si>
  <si>
    <t>eba_GA:x63</t>
  </si>
  <si>
    <t>Financial Supervision and Resolution Authority</t>
  </si>
  <si>
    <t>eba_GA:MT</t>
  </si>
  <si>
    <t>MT</t>
  </si>
  <si>
    <t>Malta</t>
  </si>
  <si>
    <t>eba_GA:BB</t>
  </si>
  <si>
    <t>BB</t>
  </si>
  <si>
    <t>Barbados</t>
  </si>
  <si>
    <t>eba_ZZ:x1012</t>
  </si>
  <si>
    <t>eba_ZZ:x1039</t>
  </si>
  <si>
    <t>EE_SUP_02</t>
  </si>
  <si>
    <t>eba_GA:x2026</t>
  </si>
  <si>
    <t>Estonian Financial Intelligence Unit</t>
  </si>
  <si>
    <t>eba_GA:NL</t>
  </si>
  <si>
    <t>NL</t>
  </si>
  <si>
    <t>Netherlands</t>
  </si>
  <si>
    <t>eba_GA:BY</t>
  </si>
  <si>
    <t>BY</t>
  </si>
  <si>
    <t>Belarus</t>
  </si>
  <si>
    <t>eba_ZZ:x1013</t>
  </si>
  <si>
    <t>eba_ZZ:x1040</t>
  </si>
  <si>
    <t>EL_SUP_01</t>
  </si>
  <si>
    <t>eba_GA:x68</t>
  </si>
  <si>
    <t>Bank of Greece</t>
  </si>
  <si>
    <t>EL</t>
  </si>
  <si>
    <t>eba_GA:PL</t>
  </si>
  <si>
    <t>PL</t>
  </si>
  <si>
    <t>Poland</t>
  </si>
  <si>
    <t>eba_ZZ:x1014</t>
  </si>
  <si>
    <t>eba_ZZ:x1041</t>
  </si>
  <si>
    <t>EL_SUP_02</t>
  </si>
  <si>
    <t>eba_GA:x2027</t>
  </si>
  <si>
    <t xml:space="preserve">Hellenic Capital Marekt Commission </t>
  </si>
  <si>
    <t>eba_GA:PT</t>
  </si>
  <si>
    <t>PT</t>
  </si>
  <si>
    <t>Portugal</t>
  </si>
  <si>
    <t>eba_GA:BZ</t>
  </si>
  <si>
    <t>BZ</t>
  </si>
  <si>
    <t>Belize</t>
  </si>
  <si>
    <t>eba_ZZ:x1015</t>
  </si>
  <si>
    <t>eba_ZZ:x1042</t>
  </si>
  <si>
    <t>ES_SUP_01</t>
  </si>
  <si>
    <t>eba_GA:x2028</t>
  </si>
  <si>
    <t>Executive Service of the Commission for the Prevention of Money Laundering and Monetary Offences</t>
  </si>
  <si>
    <t>ES</t>
  </si>
  <si>
    <t>eba_GA:RO</t>
  </si>
  <si>
    <t>RO</t>
  </si>
  <si>
    <t>Romania</t>
  </si>
  <si>
    <t>eba_GA:BJ</t>
  </si>
  <si>
    <t>BJ</t>
  </si>
  <si>
    <t>Benin</t>
  </si>
  <si>
    <t>eba_ZZ:x1016</t>
  </si>
  <si>
    <t>eba_ZZ:x1043</t>
  </si>
  <si>
    <t>ES_SUP_02</t>
  </si>
  <si>
    <t>eba_GA:x2029</t>
  </si>
  <si>
    <t>Secretariat of the Commission for the Prevention of Money Laundering and Monetary Offences</t>
  </si>
  <si>
    <t>eba_GA:SK</t>
  </si>
  <si>
    <t>SK</t>
  </si>
  <si>
    <t>Slovakia</t>
  </si>
  <si>
    <t>eba_GA:BM</t>
  </si>
  <si>
    <t>BM</t>
  </si>
  <si>
    <t>Bermuda</t>
  </si>
  <si>
    <t>eba_ZZ:x1017</t>
  </si>
  <si>
    <t>eba_ZZ:x1044</t>
  </si>
  <si>
    <t>ES_SUP_03</t>
  </si>
  <si>
    <t>eba_GA:x64</t>
  </si>
  <si>
    <t>Bank of Spain</t>
  </si>
  <si>
    <t>eba_GA:SI</t>
  </si>
  <si>
    <t>SI</t>
  </si>
  <si>
    <t>Slovenia</t>
  </si>
  <si>
    <t>eba_GA:BT</t>
  </si>
  <si>
    <t>BT</t>
  </si>
  <si>
    <t>Bhutan</t>
  </si>
  <si>
    <t>eba_ZZ:x1018</t>
  </si>
  <si>
    <t>eba_ZZ:x1045</t>
  </si>
  <si>
    <t>ES_SUP_04</t>
  </si>
  <si>
    <t>eba_GA:x66</t>
  </si>
  <si>
    <t>National Securities Market Commission</t>
  </si>
  <si>
    <t>eba_GA:ES</t>
  </si>
  <si>
    <t>Spain</t>
  </si>
  <si>
    <t>eba_GA:BO</t>
  </si>
  <si>
    <t>BO</t>
  </si>
  <si>
    <t>Bolivia (Plurinational State of)</t>
  </si>
  <si>
    <t>eba_ZZ:x1019</t>
  </si>
  <si>
    <t>eba_ZZ:x1046</t>
  </si>
  <si>
    <t>ES_SUP_05</t>
  </si>
  <si>
    <t>eba_GA:x2030</t>
  </si>
  <si>
    <t>DG Insurance and Pension Funds</t>
  </si>
  <si>
    <t>eba_GA:SE</t>
  </si>
  <si>
    <t>SE</t>
  </si>
  <si>
    <t>Sweden</t>
  </si>
  <si>
    <t>eba_GA:BQ</t>
  </si>
  <si>
    <t>BQ</t>
  </si>
  <si>
    <t>Bonaire, Sint Eustatius and Saba</t>
  </si>
  <si>
    <t>eba_ZZ:x1020</t>
  </si>
  <si>
    <t>eba_ZZ:x1047</t>
  </si>
  <si>
    <t>FI_SUP_01</t>
  </si>
  <si>
    <t>eba_GA:x65</t>
  </si>
  <si>
    <t>Financial Supervisory Authority</t>
  </si>
  <si>
    <t>eba_GA:BA</t>
  </si>
  <si>
    <t>BA</t>
  </si>
  <si>
    <t>Bosnia and Herzegovina</t>
  </si>
  <si>
    <t>eba_ZZ:x1048</t>
  </si>
  <si>
    <t>FR_SUP_01</t>
  </si>
  <si>
    <t>eba_GA:x67</t>
  </si>
  <si>
    <t>Prudential Supervision and Resolution Authority</t>
  </si>
  <si>
    <t>eba_GA:BW</t>
  </si>
  <si>
    <t>BW</t>
  </si>
  <si>
    <t>Botswana</t>
  </si>
  <si>
    <t>eba_ZZ:x1049</t>
  </si>
  <si>
    <t>FR_SUP_02</t>
  </si>
  <si>
    <t>eba_GA:x2031</t>
  </si>
  <si>
    <t>French Financial Markets Authority</t>
  </si>
  <si>
    <t>eba_GA:BV</t>
  </si>
  <si>
    <t>BV</t>
  </si>
  <si>
    <t>Bouvet Island</t>
  </si>
  <si>
    <t>HU_SUP_01</t>
  </si>
  <si>
    <t>eba_GA:x71</t>
  </si>
  <si>
    <t>Central Bank of Hungary</t>
  </si>
  <si>
    <t>eba_GA:BR</t>
  </si>
  <si>
    <t>BR</t>
  </si>
  <si>
    <t>Brazil</t>
  </si>
  <si>
    <t>IE_SUP_01</t>
  </si>
  <si>
    <t>eba_GA:x72</t>
  </si>
  <si>
    <t>The Central Bank of Ireland</t>
  </si>
  <si>
    <t>eba_GA:IO</t>
  </si>
  <si>
    <t>IO</t>
  </si>
  <si>
    <t>British Indian Ocean Territory (the)</t>
  </si>
  <si>
    <t>IT_SUP_01</t>
  </si>
  <si>
    <t>eba_GA:x75</t>
  </si>
  <si>
    <t>Bank of Italy</t>
  </si>
  <si>
    <t>eba_GA:BN</t>
  </si>
  <si>
    <t>BN</t>
  </si>
  <si>
    <t>Brunei Darussalam</t>
  </si>
  <si>
    <t>IT_SUP_03</t>
  </si>
  <si>
    <t>eba_GA:x2032</t>
  </si>
  <si>
    <t>Institute for the Supervision of Insurance</t>
  </si>
  <si>
    <t>LT_SUP_01</t>
  </si>
  <si>
    <t>eba_GA:x77</t>
  </si>
  <si>
    <t>Lietuvos bankas (central bank of Lithuania)</t>
  </si>
  <si>
    <t>eba_GA:BF</t>
  </si>
  <si>
    <t>BF</t>
  </si>
  <si>
    <t>Burkina Faso</t>
  </si>
  <si>
    <t>LT_SUP_02</t>
  </si>
  <si>
    <t>eba_GA:x2033</t>
  </si>
  <si>
    <t>Financial Crime Investigation Service under the Ministry of the Interior of the Republic of Lithuania</t>
  </si>
  <si>
    <t>eba_GA:BI</t>
  </si>
  <si>
    <t>BI</t>
  </si>
  <si>
    <t>Burundi</t>
  </si>
  <si>
    <t>LU_SUP_01</t>
  </si>
  <si>
    <t>eba_GA:x78</t>
  </si>
  <si>
    <t>Supervisory Authority of the Financial Sector</t>
  </si>
  <si>
    <t>eba_GA:CV</t>
  </si>
  <si>
    <t>CV</t>
  </si>
  <si>
    <t>Cabo Verde</t>
  </si>
  <si>
    <t>LU_SUP_03</t>
  </si>
  <si>
    <t>eba_GA:x2034</t>
  </si>
  <si>
    <t>Commissariat aux Assurances</t>
  </si>
  <si>
    <t>eba_GA:KH</t>
  </si>
  <si>
    <t>KH</t>
  </si>
  <si>
    <t>Cambodia</t>
  </si>
  <si>
    <t>LV_SUP_01</t>
  </si>
  <si>
    <t>eba_GA:x79</t>
  </si>
  <si>
    <t>Bank of Latvia</t>
  </si>
  <si>
    <t>eba_GA:CM</t>
  </si>
  <si>
    <t>CM</t>
  </si>
  <si>
    <t>Cameroon</t>
  </si>
  <si>
    <t>MT_SUP_01</t>
  </si>
  <si>
    <t>eba_GA:x2035</t>
  </si>
  <si>
    <t>Financial Intelligence Analysis Unit</t>
  </si>
  <si>
    <t>eba_GA:CA</t>
  </si>
  <si>
    <t>CA</t>
  </si>
  <si>
    <t>Canada</t>
  </si>
  <si>
    <t>MT_SUP_02</t>
  </si>
  <si>
    <t>eba_GA:x2036</t>
  </si>
  <si>
    <t>Sanctions Monitoring Board</t>
  </si>
  <si>
    <t>eba_GA:KY</t>
  </si>
  <si>
    <t>KY</t>
  </si>
  <si>
    <t>Cayman Islands (the)</t>
  </si>
  <si>
    <t>NL_SUP_01</t>
  </si>
  <si>
    <t>eba_GA:x81</t>
  </si>
  <si>
    <t>De Nederlandsche Bank</t>
  </si>
  <si>
    <t>eba_GA:CF</t>
  </si>
  <si>
    <t>CF</t>
  </si>
  <si>
    <t>Central African Republic (the)</t>
  </si>
  <si>
    <t>NL_SUP_02</t>
  </si>
  <si>
    <t>eba_GA:x2037</t>
  </si>
  <si>
    <t>Authority for the Financial Markets</t>
  </si>
  <si>
    <t>eba_GA:TD</t>
  </si>
  <si>
    <t>TD</t>
  </si>
  <si>
    <t>Chad</t>
  </si>
  <si>
    <t>PL_SUP_01</t>
  </si>
  <si>
    <t>eba_GA:x2038</t>
  </si>
  <si>
    <t>General Inspector of Financial Information</t>
  </si>
  <si>
    <t>eba_GA:CL</t>
  </si>
  <si>
    <t>CL</t>
  </si>
  <si>
    <t>Chile</t>
  </si>
  <si>
    <t>PL_SUP_03</t>
  </si>
  <si>
    <t>eba_GA:x2039</t>
  </si>
  <si>
    <t>National Association of Cooperative Savings and Credit Unions</t>
  </si>
  <si>
    <t>eba_GA:CN</t>
  </si>
  <si>
    <t>CN</t>
  </si>
  <si>
    <t>China</t>
  </si>
  <si>
    <t>PL_SUP_04</t>
  </si>
  <si>
    <t>eba_GA:x83</t>
  </si>
  <si>
    <t xml:space="preserve">Polish Financial Supervision Authority </t>
  </si>
  <si>
    <t>eba_GA:CX</t>
  </si>
  <si>
    <t>CX</t>
  </si>
  <si>
    <t>Christmas Island</t>
  </si>
  <si>
    <t>PT_SUP_01</t>
  </si>
  <si>
    <t>eba_GA:x84</t>
  </si>
  <si>
    <t xml:space="preserve">Bank of Portugal (Central Bank) </t>
  </si>
  <si>
    <t>eba_GA:CC</t>
  </si>
  <si>
    <t>CC</t>
  </si>
  <si>
    <t>Cocos (Keeling) Islands (the)</t>
  </si>
  <si>
    <t>PT_SUP_02</t>
  </si>
  <si>
    <t>eba_GA:x2040</t>
  </si>
  <si>
    <t xml:space="preserve">Securities Market Commission </t>
  </si>
  <si>
    <t>eba_GA:CO</t>
  </si>
  <si>
    <t>CO</t>
  </si>
  <si>
    <t>Colombia</t>
  </si>
  <si>
    <t>PT_SUP_03</t>
  </si>
  <si>
    <t>eba_GA:x2041</t>
  </si>
  <si>
    <t xml:space="preserve">Supervisory Authority for Insurance and Pension Funds </t>
  </si>
  <si>
    <t>eba_GA:KM</t>
  </si>
  <si>
    <t>KM</t>
  </si>
  <si>
    <t>Comoros (the)</t>
  </si>
  <si>
    <t>RO_SUP_01</t>
  </si>
  <si>
    <t>eba_GA:x85</t>
  </si>
  <si>
    <t>National Bank of Romania</t>
  </si>
  <si>
    <t>eba_GA:CD</t>
  </si>
  <si>
    <t>CD</t>
  </si>
  <si>
    <t>Congo (the Democratic Republic of the)</t>
  </si>
  <si>
    <t>RO_SUP_02</t>
  </si>
  <si>
    <t>eba_GA:x2042</t>
  </si>
  <si>
    <t>National Office for Prevention and Control of Money Laundering</t>
  </si>
  <si>
    <t>eba_GA:CG</t>
  </si>
  <si>
    <t>CG</t>
  </si>
  <si>
    <t>Congo (the)</t>
  </si>
  <si>
    <t>RO_SUP_03</t>
  </si>
  <si>
    <t>eba_GA:x86</t>
  </si>
  <si>
    <t>eba_GA:CK</t>
  </si>
  <si>
    <t>CK</t>
  </si>
  <si>
    <t>Cook Islands (the)</t>
  </si>
  <si>
    <t>SE_SUP_01</t>
  </si>
  <si>
    <t>eba_GA:x87</t>
  </si>
  <si>
    <t>Swedish Financial Supervisory Authority</t>
  </si>
  <si>
    <t>eba_GA:CR</t>
  </si>
  <si>
    <t>CR</t>
  </si>
  <si>
    <t>Costa Rica</t>
  </si>
  <si>
    <t>SI_SUP_01</t>
  </si>
  <si>
    <t>eba_GA:x88</t>
  </si>
  <si>
    <t>Bank of Slovenia</t>
  </si>
  <si>
    <t>SI_SUP_02</t>
  </si>
  <si>
    <t>eba_GA:x89</t>
  </si>
  <si>
    <t>Securities Market Agency</t>
  </si>
  <si>
    <t>eba_GA:CU</t>
  </si>
  <si>
    <t>CU</t>
  </si>
  <si>
    <t>Cuba</t>
  </si>
  <si>
    <t>SI_SUP_03</t>
  </si>
  <si>
    <t>eba_GA:x2043</t>
  </si>
  <si>
    <t>Insurance Supervision Agency</t>
  </si>
  <si>
    <t>eba_GA:CW</t>
  </si>
  <si>
    <t>CW</t>
  </si>
  <si>
    <t>Curaçao</t>
  </si>
  <si>
    <t>SI_SUP_05</t>
  </si>
  <si>
    <t>eba_GA:x2044</t>
  </si>
  <si>
    <t>Market Inspectorate of the Republic of Slovenia</t>
  </si>
  <si>
    <t>SK_SUP_01</t>
  </si>
  <si>
    <t>eba_GA:x90</t>
  </si>
  <si>
    <t>National Bank of Slovakia</t>
  </si>
  <si>
    <t>SK_SUP_02</t>
  </si>
  <si>
    <t>eba_GA:x2045</t>
  </si>
  <si>
    <t>Financial Intelligence Unit of the Police Force Presidium</t>
  </si>
  <si>
    <t>eba_GA:CI</t>
  </si>
  <si>
    <t>CI</t>
  </si>
  <si>
    <t>Côte d'Ivoire</t>
  </si>
  <si>
    <t>eba_GA:DJ</t>
  </si>
  <si>
    <t>DJ</t>
  </si>
  <si>
    <t>Djibouti</t>
  </si>
  <si>
    <t>eba_GA:DM</t>
  </si>
  <si>
    <t>DM</t>
  </si>
  <si>
    <t>Dominica</t>
  </si>
  <si>
    <t>eba_GA:DO</t>
  </si>
  <si>
    <t>DO</t>
  </si>
  <si>
    <t>Dominican Republic (the)</t>
  </si>
  <si>
    <t>eba_GA:EC</t>
  </si>
  <si>
    <t>EC</t>
  </si>
  <si>
    <t>Ecuador</t>
  </si>
  <si>
    <t>eba_GA:EG</t>
  </si>
  <si>
    <t>EG</t>
  </si>
  <si>
    <t>Egypt</t>
  </si>
  <si>
    <t>eba_GA:SV</t>
  </si>
  <si>
    <t>SV</t>
  </si>
  <si>
    <t>El Salvador</t>
  </si>
  <si>
    <t>eba_GA:GQ</t>
  </si>
  <si>
    <t>GQ</t>
  </si>
  <si>
    <t>Equatorial Guinea</t>
  </si>
  <si>
    <t>eba_GA:ER</t>
  </si>
  <si>
    <t>ER</t>
  </si>
  <si>
    <t>Eritrea</t>
  </si>
  <si>
    <t>eba_GA:SZ</t>
  </si>
  <si>
    <t>SZ</t>
  </si>
  <si>
    <t>Eswatini</t>
  </si>
  <si>
    <t>eba_GA:ET</t>
  </si>
  <si>
    <t>ET</t>
  </si>
  <si>
    <t>Ethiopia</t>
  </si>
  <si>
    <t>eba_GA:FK</t>
  </si>
  <si>
    <t>FK</t>
  </si>
  <si>
    <t>Falkland Islands (the) [Malvinas]</t>
  </si>
  <si>
    <t>eba_GA:FO</t>
  </si>
  <si>
    <t>FO</t>
  </si>
  <si>
    <t>Faroe Islands (the)</t>
  </si>
  <si>
    <t>eba_GA:FJ</t>
  </si>
  <si>
    <t>FJ</t>
  </si>
  <si>
    <t>Fiji</t>
  </si>
  <si>
    <t>eba_GA:GF</t>
  </si>
  <si>
    <t>GF</t>
  </si>
  <si>
    <t>French Guiana</t>
  </si>
  <si>
    <t>eba_GA:PF</t>
  </si>
  <si>
    <t>PF</t>
  </si>
  <si>
    <t>French Polynesia</t>
  </si>
  <si>
    <t>eba_GA:TF</t>
  </si>
  <si>
    <t>TF</t>
  </si>
  <si>
    <t>French Southern Territories (the)</t>
  </si>
  <si>
    <t>eba_GA:GA</t>
  </si>
  <si>
    <t>GA</t>
  </si>
  <si>
    <t>Gabon</t>
  </si>
  <si>
    <t>eba_GA:GM</t>
  </si>
  <si>
    <t>GM</t>
  </si>
  <si>
    <t>Gambia (the)</t>
  </si>
  <si>
    <t>eba_GA:GE</t>
  </si>
  <si>
    <t>GE</t>
  </si>
  <si>
    <t>Georgia</t>
  </si>
  <si>
    <t>eba_GA:GH</t>
  </si>
  <si>
    <t>GH</t>
  </si>
  <si>
    <t>Ghana</t>
  </si>
  <si>
    <t>eba_GA:GI</t>
  </si>
  <si>
    <t>GI</t>
  </si>
  <si>
    <t>Gibraltar</t>
  </si>
  <si>
    <t>eba_GA:GL</t>
  </si>
  <si>
    <t>GL</t>
  </si>
  <si>
    <t>Greenland</t>
  </si>
  <si>
    <t>eba_GA:GD</t>
  </si>
  <si>
    <t>GD</t>
  </si>
  <si>
    <t>Grenada</t>
  </si>
  <si>
    <t>eba_GA:GP</t>
  </si>
  <si>
    <t>GP</t>
  </si>
  <si>
    <t>Guadeloupe</t>
  </si>
  <si>
    <t>eba_GA:GU</t>
  </si>
  <si>
    <t>GU</t>
  </si>
  <si>
    <t>Guam</t>
  </si>
  <si>
    <t>eba_GA:GT</t>
  </si>
  <si>
    <t>GT</t>
  </si>
  <si>
    <t>Guatemala</t>
  </si>
  <si>
    <t>eba_GA:GG</t>
  </si>
  <si>
    <t>GG</t>
  </si>
  <si>
    <t>Guernsey</t>
  </si>
  <si>
    <t>eba_GA:GN</t>
  </si>
  <si>
    <t>GN</t>
  </si>
  <si>
    <t>Guinea</t>
  </si>
  <si>
    <t>eba_GA:GW</t>
  </si>
  <si>
    <t>GW</t>
  </si>
  <si>
    <t>Guinea-Bissau</t>
  </si>
  <si>
    <t>eba_GA:GY</t>
  </si>
  <si>
    <t>GY</t>
  </si>
  <si>
    <t>Guyana</t>
  </si>
  <si>
    <t>eba_GA:HT</t>
  </si>
  <si>
    <t>HT</t>
  </si>
  <si>
    <t>Haiti</t>
  </si>
  <si>
    <t>eba_GA:HM</t>
  </si>
  <si>
    <t>HM</t>
  </si>
  <si>
    <t>Heard Island and McDonald Islands</t>
  </si>
  <si>
    <t>eba_GA:VA</t>
  </si>
  <si>
    <t>VA</t>
  </si>
  <si>
    <t>Holy See (the)</t>
  </si>
  <si>
    <t>eba_GA:HN</t>
  </si>
  <si>
    <t>HN</t>
  </si>
  <si>
    <t>Honduras</t>
  </si>
  <si>
    <t>eba_GA:HK</t>
  </si>
  <si>
    <t>HK</t>
  </si>
  <si>
    <t>Hong Kong</t>
  </si>
  <si>
    <t>eba_GA:IS</t>
  </si>
  <si>
    <t>IS</t>
  </si>
  <si>
    <t>Iceland</t>
  </si>
  <si>
    <t>eba_GA:IN</t>
  </si>
  <si>
    <t>IN</t>
  </si>
  <si>
    <t>India</t>
  </si>
  <si>
    <t>eba_GA:ID</t>
  </si>
  <si>
    <t>ID</t>
  </si>
  <si>
    <t>Indonesia</t>
  </si>
  <si>
    <t>eba_GA:IR</t>
  </si>
  <si>
    <t>IR</t>
  </si>
  <si>
    <t>Iran (Islamic Republic of)</t>
  </si>
  <si>
    <t>eba_GA:IQ</t>
  </si>
  <si>
    <t>IQ</t>
  </si>
  <si>
    <t>Iraq</t>
  </si>
  <si>
    <t>eba_GA:IM</t>
  </si>
  <si>
    <t>IM</t>
  </si>
  <si>
    <t>Isle of Man</t>
  </si>
  <si>
    <t>eba_GA:IL</t>
  </si>
  <si>
    <t>IL</t>
  </si>
  <si>
    <t>Israel</t>
  </si>
  <si>
    <t>eba_GA:JM</t>
  </si>
  <si>
    <t>JM</t>
  </si>
  <si>
    <t>Jamaica</t>
  </si>
  <si>
    <t>eba_GA:JP</t>
  </si>
  <si>
    <t>JP</t>
  </si>
  <si>
    <t>Japan</t>
  </si>
  <si>
    <t>eba_GA:JE</t>
  </si>
  <si>
    <t>JE</t>
  </si>
  <si>
    <t>Jersey</t>
  </si>
  <si>
    <t>eba_GA:JO</t>
  </si>
  <si>
    <t>JO</t>
  </si>
  <si>
    <t>Jordan</t>
  </si>
  <si>
    <t>eba_GA:KZ</t>
  </si>
  <si>
    <t>KZ</t>
  </si>
  <si>
    <t>Kazakhstan</t>
  </si>
  <si>
    <t>eba_GA:KE</t>
  </si>
  <si>
    <t>KE</t>
  </si>
  <si>
    <t>Kenya</t>
  </si>
  <si>
    <t>eba_GA:KI</t>
  </si>
  <si>
    <t>KI</t>
  </si>
  <si>
    <t>Kiribati</t>
  </si>
  <si>
    <t>eba_GA:KP</t>
  </si>
  <si>
    <t>KP</t>
  </si>
  <si>
    <t>Korea (the Democratic People's Republic of)</t>
  </si>
  <si>
    <t>eba_GA:KR</t>
  </si>
  <si>
    <t>KR</t>
  </si>
  <si>
    <t>Korea (the Republic of)</t>
  </si>
  <si>
    <t>eba_GA:KW</t>
  </si>
  <si>
    <t>KW</t>
  </si>
  <si>
    <t>Kuwait</t>
  </si>
  <si>
    <t>eba_GA:KG</t>
  </si>
  <si>
    <t>KG</t>
  </si>
  <si>
    <t>Kyrgyzstan</t>
  </si>
  <si>
    <t>eba_GA:LA</t>
  </si>
  <si>
    <t>LA</t>
  </si>
  <si>
    <t>Lao People's Democratic Republic (the)</t>
  </si>
  <si>
    <t>eba_GA:LB</t>
  </si>
  <si>
    <t>LB</t>
  </si>
  <si>
    <t>Lebanon</t>
  </si>
  <si>
    <t>eba_GA:LS</t>
  </si>
  <si>
    <t>LS</t>
  </si>
  <si>
    <t>Lesotho</t>
  </si>
  <si>
    <t>eba_GA:LR</t>
  </si>
  <si>
    <t>LR</t>
  </si>
  <si>
    <t>Liberia</t>
  </si>
  <si>
    <t>eba_GA:LY</t>
  </si>
  <si>
    <t>LY</t>
  </si>
  <si>
    <t>Libya</t>
  </si>
  <si>
    <t>eba_GA:LI</t>
  </si>
  <si>
    <t>LI</t>
  </si>
  <si>
    <t>Liechtenstein</t>
  </si>
  <si>
    <t>eba_GA:MO</t>
  </si>
  <si>
    <t>MO</t>
  </si>
  <si>
    <t>Macao</t>
  </si>
  <si>
    <t>eba_GA:MG</t>
  </si>
  <si>
    <t>MG</t>
  </si>
  <si>
    <t>Madagascar</t>
  </si>
  <si>
    <t>eba_GA:MW</t>
  </si>
  <si>
    <t>MW</t>
  </si>
  <si>
    <t>Malawi</t>
  </si>
  <si>
    <t>eba_GA:MY</t>
  </si>
  <si>
    <t>MY</t>
  </si>
  <si>
    <t>Malaysia</t>
  </si>
  <si>
    <t>eba_GA:MV</t>
  </si>
  <si>
    <t>MV</t>
  </si>
  <si>
    <t>Maldives</t>
  </si>
  <si>
    <t>eba_GA:ML</t>
  </si>
  <si>
    <t>ML</t>
  </si>
  <si>
    <t>Mali</t>
  </si>
  <si>
    <t>eba_GA:MH</t>
  </si>
  <si>
    <t>MH</t>
  </si>
  <si>
    <t>Marshall Islands (the)</t>
  </si>
  <si>
    <t>eba_GA:MQ</t>
  </si>
  <si>
    <t>MQ</t>
  </si>
  <si>
    <t>Martinique</t>
  </si>
  <si>
    <t>eba_GA:MR</t>
  </si>
  <si>
    <t>MR</t>
  </si>
  <si>
    <t>Mauritania</t>
  </si>
  <si>
    <t>eba_GA:MU</t>
  </si>
  <si>
    <t>MU</t>
  </si>
  <si>
    <t>Mauritius</t>
  </si>
  <si>
    <t>eba_GA:YT</t>
  </si>
  <si>
    <t>YT</t>
  </si>
  <si>
    <t>Mayotte</t>
  </si>
  <si>
    <t>eba_GA:MX</t>
  </si>
  <si>
    <t>MX</t>
  </si>
  <si>
    <t>Mexico</t>
  </si>
  <si>
    <t>eba_GA:FM</t>
  </si>
  <si>
    <t>FM</t>
  </si>
  <si>
    <t>Micronesia (Federated States of)</t>
  </si>
  <si>
    <t>eba_GA:MD</t>
  </si>
  <si>
    <t>MD</t>
  </si>
  <si>
    <t>Moldova (the Republic of)</t>
  </si>
  <si>
    <t>eba_GA:MC</t>
  </si>
  <si>
    <t>MC</t>
  </si>
  <si>
    <t>Monaco</t>
  </si>
  <si>
    <t>eba_GA:MN</t>
  </si>
  <si>
    <t>MN</t>
  </si>
  <si>
    <t>Mongolia</t>
  </si>
  <si>
    <t>eba_GA:ME</t>
  </si>
  <si>
    <t>ME</t>
  </si>
  <si>
    <t>Montenegro</t>
  </si>
  <si>
    <t>eba_GA:MS</t>
  </si>
  <si>
    <t>MS</t>
  </si>
  <si>
    <t>Montserrat</t>
  </si>
  <si>
    <t>eba_GA:MA</t>
  </si>
  <si>
    <t>MA</t>
  </si>
  <si>
    <t>Morocco</t>
  </si>
  <si>
    <t>eba_GA:MZ</t>
  </si>
  <si>
    <t>MZ</t>
  </si>
  <si>
    <t>Mozambique</t>
  </si>
  <si>
    <t>eba_GA:MM</t>
  </si>
  <si>
    <t>MM</t>
  </si>
  <si>
    <t>Myanmar</t>
  </si>
  <si>
    <t>eba_GA:NA</t>
  </si>
  <si>
    <t>NA</t>
  </si>
  <si>
    <t>Namibia</t>
  </si>
  <si>
    <t>eba_GA:NR</t>
  </si>
  <si>
    <t>NR</t>
  </si>
  <si>
    <t>Nauru</t>
  </si>
  <si>
    <t>eba_GA:NP</t>
  </si>
  <si>
    <t>NP</t>
  </si>
  <si>
    <t>Nepal</t>
  </si>
  <si>
    <t>eba_GA:NC</t>
  </si>
  <si>
    <t>NC</t>
  </si>
  <si>
    <t>New Caledonia</t>
  </si>
  <si>
    <t>eba_GA:NZ</t>
  </si>
  <si>
    <t>NZ</t>
  </si>
  <si>
    <t>New Zealand</t>
  </si>
  <si>
    <t>eba_GA:NI</t>
  </si>
  <si>
    <t>NI</t>
  </si>
  <si>
    <t>Nicaragua</t>
  </si>
  <si>
    <t>eba_GA:NE</t>
  </si>
  <si>
    <t>NE</t>
  </si>
  <si>
    <t>Niger (the)</t>
  </si>
  <si>
    <t>eba_GA:NG</t>
  </si>
  <si>
    <t>NG</t>
  </si>
  <si>
    <t>Nigeria</t>
  </si>
  <si>
    <t>eba_GA:NU</t>
  </si>
  <si>
    <t>NU</t>
  </si>
  <si>
    <t>Niue</t>
  </si>
  <si>
    <t>eba_GA:NF</t>
  </si>
  <si>
    <t>NF</t>
  </si>
  <si>
    <t>Norfolk Island</t>
  </si>
  <si>
    <t>eba_GA:MP</t>
  </si>
  <si>
    <t>MP</t>
  </si>
  <si>
    <t>Northern Mariana Islands (the)</t>
  </si>
  <si>
    <t>eba_GA:NO</t>
  </si>
  <si>
    <t>NO</t>
  </si>
  <si>
    <t>Norway</t>
  </si>
  <si>
    <t>eba_GA:OM</t>
  </si>
  <si>
    <t>OM</t>
  </si>
  <si>
    <t>Oman</t>
  </si>
  <si>
    <t>eba_GA:PK</t>
  </si>
  <si>
    <t>PK</t>
  </si>
  <si>
    <t>Pakistan</t>
  </si>
  <si>
    <t>eba_GA:PW</t>
  </si>
  <si>
    <t>PW</t>
  </si>
  <si>
    <t>Palau</t>
  </si>
  <si>
    <t>eba_GA:PS</t>
  </si>
  <si>
    <t>PS</t>
  </si>
  <si>
    <t>Palestine, State of</t>
  </si>
  <si>
    <t>eba_GA:PA</t>
  </si>
  <si>
    <t>PA</t>
  </si>
  <si>
    <t>Panama</t>
  </si>
  <si>
    <t>eba_GA:PG</t>
  </si>
  <si>
    <t>PG</t>
  </si>
  <si>
    <t>Papua New Guinea</t>
  </si>
  <si>
    <t>eba_GA:PY</t>
  </si>
  <si>
    <t>PY</t>
  </si>
  <si>
    <t>Paraguay</t>
  </si>
  <si>
    <t>eba_GA:PE</t>
  </si>
  <si>
    <t>PE</t>
  </si>
  <si>
    <t>Peru</t>
  </si>
  <si>
    <t>eba_GA:PH</t>
  </si>
  <si>
    <t>PH</t>
  </si>
  <si>
    <t>Philippines (the)</t>
  </si>
  <si>
    <t>eba_GA:PN</t>
  </si>
  <si>
    <t>PN</t>
  </si>
  <si>
    <t>Pitcairn</t>
  </si>
  <si>
    <t>eba_GA:PR</t>
  </si>
  <si>
    <t>PR</t>
  </si>
  <si>
    <t>Puerto Rico</t>
  </si>
  <si>
    <t>eba_GA:QA</t>
  </si>
  <si>
    <t>QA</t>
  </si>
  <si>
    <t>Qatar</t>
  </si>
  <si>
    <t>eba_GA:MK</t>
  </si>
  <si>
    <t>MK</t>
  </si>
  <si>
    <t>Republic of North Macedonia</t>
  </si>
  <si>
    <t>eba_GA:RU</t>
  </si>
  <si>
    <t>RU</t>
  </si>
  <si>
    <t>Russian Federation (the)</t>
  </si>
  <si>
    <t>eba_GA:RW</t>
  </si>
  <si>
    <t>RW</t>
  </si>
  <si>
    <t>Rwanda</t>
  </si>
  <si>
    <t>eba_GA:RE</t>
  </si>
  <si>
    <t>RE</t>
  </si>
  <si>
    <t>Réunion</t>
  </si>
  <si>
    <t>eba_GA:BL</t>
  </si>
  <si>
    <t>BL</t>
  </si>
  <si>
    <t>Saint Barthélemy</t>
  </si>
  <si>
    <t>eba_GA:SH</t>
  </si>
  <si>
    <t>SH</t>
  </si>
  <si>
    <t>Saint Helena, Ascension and Tristan da Cunha</t>
  </si>
  <si>
    <t>eba_GA:KN</t>
  </si>
  <si>
    <t>KN</t>
  </si>
  <si>
    <t>Saint Kitts and Nevis</t>
  </si>
  <si>
    <t>eba_GA:LC</t>
  </si>
  <si>
    <t>LC</t>
  </si>
  <si>
    <t>Saint Lucia</t>
  </si>
  <si>
    <t>eba_GA:MF</t>
  </si>
  <si>
    <t>MF</t>
  </si>
  <si>
    <t>Saint Martin (French part)</t>
  </si>
  <si>
    <t>eba_GA:PM</t>
  </si>
  <si>
    <t>PM</t>
  </si>
  <si>
    <t>Saint Pierre and Miquelon</t>
  </si>
  <si>
    <t>eba_GA:VC</t>
  </si>
  <si>
    <t>VC</t>
  </si>
  <si>
    <t>Saint Vincent and the Grenadines</t>
  </si>
  <si>
    <t>eba_GA:WS</t>
  </si>
  <si>
    <t>WS</t>
  </si>
  <si>
    <t>Samoa</t>
  </si>
  <si>
    <t>eba_GA:SM</t>
  </si>
  <si>
    <t>SM</t>
  </si>
  <si>
    <t>San Marino</t>
  </si>
  <si>
    <t>eba_GA:ST</t>
  </si>
  <si>
    <t>ST</t>
  </si>
  <si>
    <t>Sao Tome and Principe</t>
  </si>
  <si>
    <t>eba_GA:SA</t>
  </si>
  <si>
    <t>SA</t>
  </si>
  <si>
    <t>Saudi Arabia</t>
  </si>
  <si>
    <t>eba_GA:SN</t>
  </si>
  <si>
    <t>SN</t>
  </si>
  <si>
    <t>Senegal</t>
  </si>
  <si>
    <t>eba_GA:RS</t>
  </si>
  <si>
    <t>RS</t>
  </si>
  <si>
    <t>Serbia</t>
  </si>
  <si>
    <t>eba_GA:SC</t>
  </si>
  <si>
    <t>SC</t>
  </si>
  <si>
    <t>Seychelles</t>
  </si>
  <si>
    <t>eba_GA:SL</t>
  </si>
  <si>
    <t>SL</t>
  </si>
  <si>
    <t>Sierra Leone</t>
  </si>
  <si>
    <t>eba_GA:SG</t>
  </si>
  <si>
    <t>SG</t>
  </si>
  <si>
    <t>Singapore</t>
  </si>
  <si>
    <t>eba_GA:SX</t>
  </si>
  <si>
    <t>SX</t>
  </si>
  <si>
    <t>Sint Maarten (Dutch part)</t>
  </si>
  <si>
    <t>eba_GA:SB</t>
  </si>
  <si>
    <t>SB</t>
  </si>
  <si>
    <t>Solomon Islands</t>
  </si>
  <si>
    <t>eba_GA:SO</t>
  </si>
  <si>
    <t>SO</t>
  </si>
  <si>
    <t>Somalia</t>
  </si>
  <si>
    <t>eba_GA:ZA</t>
  </si>
  <si>
    <t>ZA</t>
  </si>
  <si>
    <t>South Africa</t>
  </si>
  <si>
    <t>eba_GA:GS</t>
  </si>
  <si>
    <t>GS</t>
  </si>
  <si>
    <t>South Georgia and the South Sandwich Islands</t>
  </si>
  <si>
    <t>eba_GA:SS</t>
  </si>
  <si>
    <t>SS</t>
  </si>
  <si>
    <t>South Sudan</t>
  </si>
  <si>
    <t>eba_GA:LK</t>
  </si>
  <si>
    <t>LK</t>
  </si>
  <si>
    <t>Sri Lanka</t>
  </si>
  <si>
    <t>eba_GA:SD</t>
  </si>
  <si>
    <t>SD</t>
  </si>
  <si>
    <t>Sudan (the)</t>
  </si>
  <si>
    <t>eba_GA:SR</t>
  </si>
  <si>
    <t>SR</t>
  </si>
  <si>
    <t>Suriname</t>
  </si>
  <si>
    <t>eba_GA:SJ</t>
  </si>
  <si>
    <t>SJ</t>
  </si>
  <si>
    <t>Svalbard and Jan Mayen</t>
  </si>
  <si>
    <t>eba_GA:CH</t>
  </si>
  <si>
    <t>CH</t>
  </si>
  <si>
    <t>Switzerland</t>
  </si>
  <si>
    <t>eba_GA:SY</t>
  </si>
  <si>
    <t>SY</t>
  </si>
  <si>
    <t>Syrian Arab Republic</t>
  </si>
  <si>
    <t>eba_GA:TW</t>
  </si>
  <si>
    <t>TW</t>
  </si>
  <si>
    <t>Taiwan (Province of China)</t>
  </si>
  <si>
    <t>eba_GA:TJ</t>
  </si>
  <si>
    <t>TJ</t>
  </si>
  <si>
    <t>Tajikistan</t>
  </si>
  <si>
    <t>eba_GA:TZ</t>
  </si>
  <si>
    <t>TZ</t>
  </si>
  <si>
    <t>Tanzania, United Republic of</t>
  </si>
  <si>
    <t>eba_GA:TH</t>
  </si>
  <si>
    <t>TH</t>
  </si>
  <si>
    <t>Thailand</t>
  </si>
  <si>
    <t>eba_GA:TL</t>
  </si>
  <si>
    <t>TL</t>
  </si>
  <si>
    <t>Timor-Leste</t>
  </si>
  <si>
    <t>eba_GA:TG</t>
  </si>
  <si>
    <t>TG</t>
  </si>
  <si>
    <t>Togo</t>
  </si>
  <si>
    <t>eba_GA:TK</t>
  </si>
  <si>
    <t>TK</t>
  </si>
  <si>
    <t>Tokelau</t>
  </si>
  <si>
    <t>eba_GA:TO</t>
  </si>
  <si>
    <t>TO</t>
  </si>
  <si>
    <t>Tonga</t>
  </si>
  <si>
    <t>eba_GA:TT</t>
  </si>
  <si>
    <t>TT</t>
  </si>
  <si>
    <t>Trinidad and Tobago</t>
  </si>
  <si>
    <t>eba_GA:TN</t>
  </si>
  <si>
    <t>TN</t>
  </si>
  <si>
    <t>Tunisia</t>
  </si>
  <si>
    <t>eba_GA:TR</t>
  </si>
  <si>
    <t>TR</t>
  </si>
  <si>
    <t>Turkey</t>
  </si>
  <si>
    <t>eba_GA:TM</t>
  </si>
  <si>
    <t>TM</t>
  </si>
  <si>
    <t>Turkmenistan</t>
  </si>
  <si>
    <t>eba_GA:TC</t>
  </si>
  <si>
    <t>TC</t>
  </si>
  <si>
    <t>Turks and Caicos Islands (the)</t>
  </si>
  <si>
    <t>eba_GA:TV</t>
  </si>
  <si>
    <t>TV</t>
  </si>
  <si>
    <t>Tuvalu</t>
  </si>
  <si>
    <t>eba_GA:UG</t>
  </si>
  <si>
    <t>UG</t>
  </si>
  <si>
    <t>Uganda</t>
  </si>
  <si>
    <t>eba_GA:UA</t>
  </si>
  <si>
    <t>UA</t>
  </si>
  <si>
    <t>Ukraine</t>
  </si>
  <si>
    <t>eba_GA:AE</t>
  </si>
  <si>
    <t>AE</t>
  </si>
  <si>
    <t>United Arab Emirates (the)</t>
  </si>
  <si>
    <t>eba_GA:GB</t>
  </si>
  <si>
    <t>GB</t>
  </si>
  <si>
    <t>United Kingdom of Great Britain and Northern Ireland (the)</t>
  </si>
  <si>
    <t>eba_GA:UM</t>
  </si>
  <si>
    <t>UM</t>
  </si>
  <si>
    <t>United States Minor Outlying Islands (the)</t>
  </si>
  <si>
    <t>eba_GA:US</t>
  </si>
  <si>
    <t>US</t>
  </si>
  <si>
    <t>United States of America (the)</t>
  </si>
  <si>
    <t>eba_GA:UY</t>
  </si>
  <si>
    <t>UY</t>
  </si>
  <si>
    <t>Uruguay</t>
  </si>
  <si>
    <t>eba_GA:UZ</t>
  </si>
  <si>
    <t>UZ</t>
  </si>
  <si>
    <t>Uzbekistan</t>
  </si>
  <si>
    <t>eba_GA:VU</t>
  </si>
  <si>
    <t>VU</t>
  </si>
  <si>
    <t>Vanuatu</t>
  </si>
  <si>
    <t>eba_GA:VE</t>
  </si>
  <si>
    <t>VE</t>
  </si>
  <si>
    <t>Venezuela (Bolivarian Republic of)</t>
  </si>
  <si>
    <t>eba_GA:VN</t>
  </si>
  <si>
    <t>VN</t>
  </si>
  <si>
    <t>Viet Nam</t>
  </si>
  <si>
    <t>eba_GA:VG</t>
  </si>
  <si>
    <t>VG</t>
  </si>
  <si>
    <t>Virgin Islands (British)</t>
  </si>
  <si>
    <t>eba_GA:VI</t>
  </si>
  <si>
    <t>VI</t>
  </si>
  <si>
    <t>Virgin Islands (U.S.)</t>
  </si>
  <si>
    <t>eba_GA:WF</t>
  </si>
  <si>
    <t>WF</t>
  </si>
  <si>
    <t>Wallis and Futuna</t>
  </si>
  <si>
    <t>eba_GA:EH</t>
  </si>
  <si>
    <t>EH</t>
  </si>
  <si>
    <t>Western Sahara</t>
  </si>
  <si>
    <t>eba_GA:YE</t>
  </si>
  <si>
    <t>YE</t>
  </si>
  <si>
    <t>Yemen</t>
  </si>
  <si>
    <t>eba_GA:ZM</t>
  </si>
  <si>
    <t>ZM</t>
  </si>
  <si>
    <t>Zambia</t>
  </si>
  <si>
    <t>eba_GA:ZW</t>
  </si>
  <si>
    <t>ZW</t>
  </si>
  <si>
    <t>Zimbabwe</t>
  </si>
  <si>
    <t>eba_GA:AX</t>
  </si>
  <si>
    <t>AX</t>
  </si>
  <si>
    <t>Åland Islands</t>
  </si>
  <si>
    <t>Table code</t>
  </si>
  <si>
    <t>Column Code</t>
  </si>
  <si>
    <t>Entry cell</t>
  </si>
  <si>
    <t>Column label</t>
  </si>
  <si>
    <t>Description</t>
  </si>
  <si>
    <t>Type</t>
  </si>
  <si>
    <t>Stock or Flow</t>
  </si>
  <si>
    <t>Applicability</t>
  </si>
  <si>
    <t>Main property</t>
  </si>
  <si>
    <t>Category 1</t>
  </si>
  <si>
    <t>Category 2</t>
  </si>
  <si>
    <t>Category 3</t>
  </si>
  <si>
    <t>Category 4</t>
  </si>
  <si>
    <t>Category 5</t>
  </si>
  <si>
    <t>Category 6</t>
  </si>
  <si>
    <t>B11</t>
  </si>
  <si>
    <t>C11</t>
  </si>
  <si>
    <t>D11</t>
  </si>
  <si>
    <t>E11</t>
  </si>
  <si>
    <t>F11</t>
  </si>
  <si>
    <t>G11</t>
  </si>
  <si>
    <t>H11</t>
  </si>
  <si>
    <t>I11</t>
  </si>
  <si>
    <t>J11</t>
  </si>
  <si>
    <t>K11</t>
  </si>
  <si>
    <t>L11</t>
  </si>
  <si>
    <t>M11</t>
  </si>
  <si>
    <t>N11</t>
  </si>
  <si>
    <t>O11</t>
  </si>
  <si>
    <t>P11</t>
  </si>
  <si>
    <t>Q11</t>
  </si>
  <si>
    <t>R11</t>
  </si>
  <si>
    <t>S11</t>
  </si>
  <si>
    <t>T11</t>
  </si>
  <si>
    <t>U11</t>
  </si>
  <si>
    <t>V11</t>
  </si>
  <si>
    <t>W11</t>
  </si>
  <si>
    <t>X11</t>
  </si>
  <si>
    <t>Y11</t>
  </si>
  <si>
    <t>Z11</t>
  </si>
  <si>
    <t>AA11</t>
  </si>
  <si>
    <t>AB11</t>
  </si>
  <si>
    <t>AC11</t>
  </si>
  <si>
    <t>AD11</t>
  </si>
  <si>
    <t>[new] Number of customers</t>
  </si>
  <si>
    <t>qTE - [qBRW] Entity type serving as customer &gt; [new] Natural Persons</t>
  </si>
  <si>
    <t>qTE - [qBRW] Entity type serving as customer &gt; [new] Legal entities</t>
  </si>
  <si>
    <t xml:space="preserve">qTE - [new] Type of NP/UBO &gt; [new] Politically Exposed Person </t>
  </si>
  <si>
    <t>qRF - [qBEB] Reference date or period &gt; (qRF:qx2059) Preceding year</t>
  </si>
  <si>
    <t>qIA - [new] Number of transaction by the customer &gt; &gt;= 1</t>
  </si>
  <si>
    <t>[new] Number of new customers</t>
  </si>
  <si>
    <t>qTE - [qBRW] Entity type serving as customer &gt; [new] Legal entity with multi-layered structure</t>
  </si>
  <si>
    <t>qTA - [new] Type of customer activity &gt; [new] High risk activities</t>
  </si>
  <si>
    <t>GA - [new] Location of at least 1 UBO &gt; qx2012 - Non-European Economic Area (EEA)</t>
  </si>
  <si>
    <t>GA - [qAOK] Area of transactions &gt; qx2012 - Non-European Economic Area (EEA)</t>
  </si>
  <si>
    <t>qTE - [qBRW] Entity type serving as customer &gt; [new] Walk-in</t>
  </si>
  <si>
    <t>[new] Number of occasional transactions</t>
  </si>
  <si>
    <t>qTE - [new] Type of entity making request &gt; Financial Inteligence Units (FIU)</t>
  </si>
  <si>
    <t>(qGBE) Number of accounts</t>
  </si>
  <si>
    <t>(qKJH:qPY) Source of the financial flows &gt; (qPY:qx2019) Payment accounts</t>
  </si>
  <si>
    <t>(qAJN) Amount of payment</t>
  </si>
  <si>
    <t>(qZZV:qPY) Type of payment transaction &gt; (qPY:qx2021) Received</t>
  </si>
  <si>
    <t>(qGAE) Number of transactions</t>
  </si>
  <si>
    <t>(qZZV:qPY) Type of payment transaction &gt; (qPY:qx2018) Sent</t>
  </si>
  <si>
    <t>(qKJH:qPY) Source of the financial flows &gt; [new] Master accounts with linked vIBANS</t>
  </si>
  <si>
    <t>qPY:qZZV - Type of payment transaction &gt; [new] vIBANS</t>
  </si>
  <si>
    <t>[new] Number of re-issued IBANs</t>
  </si>
  <si>
    <t>qTE - [qBRW] Entity type serving as customer &gt; [new] End-user is not a customer of the obliged entity</t>
  </si>
  <si>
    <t>[new] Number of products</t>
  </si>
  <si>
    <t>(qKJI:qPY) Form of payment &gt; [new] Prepaid cards</t>
  </si>
  <si>
    <t>(qKJJ:qPY) Payment issued/acquired &gt; (qPY:qx2011) Issued</t>
  </si>
  <si>
    <t>(qIJK) Outstanding amount</t>
  </si>
  <si>
    <t>qIA - [new] Number of prepaid card held by customer &gt; [new] &gt;= 3</t>
  </si>
  <si>
    <t>(qCAA:qAI) Accounting items &gt; (qAI:qx2017) Assets</t>
  </si>
  <si>
    <t xml:space="preserve">(qAFF:qFI) Type of financial instruments &gt; (qFI:qx2001) Loans and advances </t>
  </si>
  <si>
    <t>(qCCB) Carrying amount</t>
  </si>
  <si>
    <t>(qJKI:qNF) Non-financial items used as collateral or guarantee received &gt; (qNF:qx2016) Real estate</t>
  </si>
  <si>
    <t>qRF - [qBEB] Reference date or period &gt; (qBEB:qx2059) Preceding year</t>
  </si>
  <si>
    <t>(qKJK:qNF) Source of the payment &gt; [new] Third party not mentioned in the mortgage deed</t>
  </si>
  <si>
    <t xml:space="preserve">(qAFG:qFI) Financial instruments used as collateral &gt; (qFI:qx2074) Cash on hand </t>
  </si>
  <si>
    <t>([new]:qPY) Repayment type &gt; [new] Regardless of the original disbursement date</t>
  </si>
  <si>
    <t>([new]:qPY) Repayment type &gt; [new] Premature to the originally planned disbursement date</t>
  </si>
  <si>
    <t>(qAFF:qFI) Type of financial instruments &gt; (qFI:qx2366) Consumer loans</t>
  </si>
  <si>
    <t>(qZZR:qTA) Type of activity &gt; [new] Other than acquisition of any product/service</t>
  </si>
  <si>
    <t>(qAFF:qFI) Type of financial instruments &gt; [new] Factoring</t>
  </si>
  <si>
    <t>GA - [RIO] Residence of the immediate obligor &gt; qx2012 - Non-European Economic Area (EEA)</t>
  </si>
  <si>
    <t>[new] Amount of gross written premiums</t>
  </si>
  <si>
    <t>qFI:qMML - Financial instrument that is the object of the transaction / contract &gt; (qx2349) Life insurance policies</t>
  </si>
  <si>
    <t>[new] Percentage of gross written premium paid</t>
  </si>
  <si>
    <t>qTE - [qEDA] Type of entity serving as counterparty &gt; [new] Life insurance broker</t>
  </si>
  <si>
    <t>[new] Number of insurance contracts</t>
  </si>
  <si>
    <t>qCN:qMIJ - Type of contract &gt; [new] Other than low risk contracts</t>
  </si>
  <si>
    <t>qTA:qBFD - Type of financial service provided &gt; (qTA:qx2125) Foreign exchange services</t>
  </si>
  <si>
    <t>qPR:qBVO - Type of transaction &gt; [new] Sell</t>
  </si>
  <si>
    <t>qPR:qBVO - Type of transaction &gt; [new] Buy</t>
  </si>
  <si>
    <t>qIA:[new] -  Value of the transation &gt; [new] &gt;= 1,000</t>
  </si>
  <si>
    <t>(qKJI:qPY) Form of payment &gt; [new] Cash to cash</t>
  </si>
  <si>
    <t>qTA:qFFA - Type of investment services and activities &gt; (qx2157) Reception and transmission of orders</t>
  </si>
  <si>
    <t>qSR:qKMI - Sector of the entity &gt; (qx2018) Retail</t>
  </si>
  <si>
    <t>qSR:qKMI - Sector of the entity &gt; [new] Professional</t>
  </si>
  <si>
    <t>qTE - [qBRW] Entity type serving as customer &gt; [new] AML/CFT regulated</t>
  </si>
  <si>
    <t>qTA:qFFA - Type of investment services and activities &gt; (qx2081) Assets custody</t>
  </si>
  <si>
    <t>[new] Percentage of assets under custody</t>
  </si>
  <si>
    <t>qRP:qZZQ - Relationship with the counterparty &gt; To be checked by AMLA colleagues</t>
  </si>
  <si>
    <t>qTA:qFFA - Type of investment services and activities &gt; (qx2108) Portfolio management</t>
  </si>
  <si>
    <t>(qAJD) Amount of assets</t>
  </si>
  <si>
    <t>qIA:[new] - Value of assets under management &gt; [new] &gt;= 5,000,000</t>
  </si>
  <si>
    <t>qPY:qZZV - Type of payment transaction &gt; (qx2007) Money remittances</t>
  </si>
  <si>
    <t>qIA:new - Value of assets under management &gt; [new] &gt;= 5,000,000</t>
  </si>
  <si>
    <t>qTA:qFFA - Type of investment services and activities &gt; (qx2257) Wealth management</t>
  </si>
  <si>
    <t>qIA:[new] - Value of assets of the customer &gt; [new] &gt;= 50,000,000</t>
  </si>
  <si>
    <t>qIA:new - Value of assets under management &gt; [new] &gt;= 2,000,000</t>
  </si>
  <si>
    <t>qTA:qFFA - Type of investment services and activities &gt; [new] Correspondent banking services</t>
  </si>
  <si>
    <t xml:space="preserve">qPR:qKII - Type of account &gt; [new] Correspondent account </t>
  </si>
  <si>
    <t>qPR:qKII - Type of account &gt; [new] Payable through accounts</t>
  </si>
  <si>
    <t>qPR:qKII - Type of account &gt; [new] Nested account</t>
  </si>
  <si>
    <t>qTA:qBFD - Type of financial service provided &gt; (qx2015) Trade finance</t>
  </si>
  <si>
    <t>(qKJI:qPY) Form of payment &gt; (qPY:qx2008) E-money</t>
  </si>
  <si>
    <t>qTE - [qBRW] Entity type serving as customer &gt; [new] Non-identified</t>
  </si>
  <si>
    <t xml:space="preserve">qTA:qFFA - Type of investment services and activities &gt; [new] Trust and company service providers </t>
  </si>
  <si>
    <t>(qANR:qCY) Type of financial instruments for crypto assets &gt; (qCY:qx2000) Crypto assets</t>
  </si>
  <si>
    <t>GA - [qOOR] Residence of counterparty &gt; qx2012 - Non-European Economic Area (EEA)</t>
  </si>
  <si>
    <t>qRP - [qFED] Role of the instituiton &gt; [new] BIN-sponsor</t>
  </si>
  <si>
    <t>(qAOD:qCY) Type of wallet &gt; (qCY:qx2003) Custodial wallets</t>
  </si>
  <si>
    <t>EXCHANGE OF CRYPTO-ASSETS FOR OTHER CRYPTO-ASSETS</t>
  </si>
  <si>
    <t>(qAFF:qFI) Type of financial instruments &gt; (qx2136) UCITS-security (US)</t>
  </si>
  <si>
    <t>(qAFF:qFI) Type of financial instruments &gt; [new] AIFS-security</t>
  </si>
  <si>
    <t>[new] Number of funds</t>
  </si>
  <si>
    <t>([new]:qTE) Type of fund &gt; [new] Open-ended fund</t>
  </si>
  <si>
    <t>([new]:qTE) Type of fund &gt; [new] Closed-ended fund</t>
  </si>
  <si>
    <t>(qBTI:qMA) Instrument is listed on exchange &gt; (qx2033) Instrument is not listed on exchange</t>
  </si>
  <si>
    <t>(qTA:qBFD) Type of financial service provided &gt; [new] Safe deposit boxes</t>
  </si>
  <si>
    <t>qTA - qFFA: Type of investment services and activities &gt; [new] Crowdfunding</t>
  </si>
  <si>
    <t>[new] Number of projects</t>
  </si>
  <si>
    <t>[new] Number of donors</t>
  </si>
  <si>
    <t>GA - qOOR: Residence of counterparty &gt; [new] High-risk country</t>
  </si>
  <si>
    <t>GA - [new]: Residence of the owner &gt; [new] High-risk country</t>
  </si>
  <si>
    <t>(qKJI:qPY) Form of payment &gt; (qPY:qx2001) Cash withdrawals</t>
  </si>
  <si>
    <t>(qKJI:qPY) Form of payment &gt; [new] Cash deposits</t>
  </si>
  <si>
    <t>qIA:[new] -  Value of the transation &gt; [new] &gt;= 20,000</t>
  </si>
  <si>
    <t>GA - [qBBE] Location of activity &gt; &lt;Key value&gt;</t>
  </si>
  <si>
    <t>(qAPH:qTE) Type of entity &gt; (qx2004) Collective Investment Undertakings</t>
  </si>
  <si>
    <t>[new] Number of investors</t>
  </si>
  <si>
    <t>(qGDC) Number of institutions</t>
  </si>
  <si>
    <t>GA - [qOOR] Residence of counterparty &gt; (qx2013) Non-domestic</t>
  </si>
  <si>
    <t>[new] Number of branches</t>
  </si>
  <si>
    <t>[new] Number of subsidiaries</t>
  </si>
  <si>
    <t>[new] Number of agents</t>
  </si>
  <si>
    <t>[new] Number of distributors</t>
  </si>
  <si>
    <t>qCN:qMIJ Type of contract &gt; [new] Insurance contracts</t>
  </si>
  <si>
    <t>qTE:qBRL Type of entity serving as issuer &gt; [new] Broker</t>
  </si>
  <si>
    <t>[new] Number of white labelling partners</t>
  </si>
  <si>
    <t>[new] AML/CFT compliance date</t>
  </si>
  <si>
    <t>qRF - qBEG: Reference date or period &gt; [new] Most recent date</t>
  </si>
  <si>
    <t>(qGBB) Number of staff</t>
  </si>
  <si>
    <t>qSM - qBZK: Role of Staff &gt; [new] AML/CFT compliance</t>
  </si>
  <si>
    <t>[new] Percentage of staff who received training</t>
  </si>
  <si>
    <t>qSM - qBZK: Role of Staff &gt; [new] Other than AML/CFT compliance</t>
  </si>
  <si>
    <t>qSM - qBZK: Role of Staff &gt; [new] Agents and Distributors</t>
  </si>
  <si>
    <t>qSM - qBZK: Role of Staff &gt; [new] Board members / non-executive directors</t>
  </si>
  <si>
    <t>(qFRQ) Frequency</t>
  </si>
  <si>
    <t>qSM - qBZK: Role of Staff &gt; (qx2052) Management body</t>
  </si>
  <si>
    <t>qTA - [new]: Type of AML/CFT controls &gt; [new] AML Management reporting</t>
  </si>
  <si>
    <t>[new] Are tasks outsourced to service providers</t>
  </si>
  <si>
    <t>qTA - [new]: Type of task &gt; [new] CDD</t>
  </si>
  <si>
    <t>qTA - [new]: Type of task &gt; [new] Training</t>
  </si>
  <si>
    <t>qTA - [new]: Type of task &gt; [new] Transaction monitoring</t>
  </si>
  <si>
    <t>qTA - [new]: Type of task &gt; [new] Suspicious Transaction Reports</t>
  </si>
  <si>
    <t>qTA - [new]: Type of task &gt; [new] Sanctions Screening</t>
  </si>
  <si>
    <t>qTA - [new]: Type of task &gt; [new] PEP identification</t>
  </si>
  <si>
    <t>qTA - [new]: Type of task &gt; [new] Compliance Monitoring Checks</t>
  </si>
  <si>
    <t>qTA - [new]: Type of task &gt; [new] AML/CFT</t>
  </si>
  <si>
    <t>GA - [new]: Country of the service provider &gt; (qx2012) Non-European Economic Area (EEA)</t>
  </si>
  <si>
    <t>qRP - [new]: Relationship with the service provider &gt; (qx2010) Entities other than entities of the group</t>
  </si>
  <si>
    <t>qRP - [new]: Relationship with the service provider &gt; (qx2006) Entities of the group</t>
  </si>
  <si>
    <t>[new] Date of last assessement by an audit</t>
  </si>
  <si>
    <t>qTA - [new]: Type of AML/CFT controls &gt; [new] Business Wide Risk Assessment</t>
  </si>
  <si>
    <t>qTA - [new]: Type of AML/CFT controls &gt; [new] ML/TF assessment</t>
  </si>
  <si>
    <t>qTA - [new]: Type of AML/CFT controls &gt; [new] AML/CFT trainings</t>
  </si>
  <si>
    <t>qTA - [new]: Type of AML/CFT controls &gt; [new] Identification and verification procedure</t>
  </si>
  <si>
    <t>qTA - [new]: Type of AML/CFT controls &gt; [new] Policies and procedures for monitoring and analysing business relationships</t>
  </si>
  <si>
    <t>qTA - [new]: Type of AML/CFT controls &gt; [new] Suspicious transaction reporting procedures</t>
  </si>
  <si>
    <t>qTA - [new]: Type of AML/CFT controls &gt; [new] Recordâ€‘keeping policies and procedures</t>
  </si>
  <si>
    <t>qTA - [new]: Type of AML/CFT controls &gt; [new] Resources dedicated to AML/CFT</t>
  </si>
  <si>
    <t>qTA - [new]: Type of AML/CFT controls &gt; [new] Organisation of the AML/CFT system, governance and reporting arrangements</t>
  </si>
  <si>
    <t>(qGEB) Date of latest approval</t>
  </si>
  <si>
    <t>[new] Is approved</t>
  </si>
  <si>
    <t>qSM - qBZK: Role of Staff &gt; (qx2063) Senior management</t>
  </si>
  <si>
    <t>[new] Date of latest update</t>
  </si>
  <si>
    <t>qTA - [new]: Type of AML/CFT controls &gt; [new] Customer Risk Assessment</t>
  </si>
  <si>
    <t>qOI - [new] ML/TF risk category &gt; (qx2021) Low</t>
  </si>
  <si>
    <t>qOI - [new] ML/TF risk category &gt; (qx2023) Medium low</t>
  </si>
  <si>
    <t>qOI - [new] ML/TF risk category &gt; (qx2022) Medium high</t>
  </si>
  <si>
    <t>qOI - [new] ML/TF risk category &gt; (qx2020) High</t>
  </si>
  <si>
    <t>qTE - [qBRW] Entity type serving as customer &gt; [new] Legal entities or trusts</t>
  </si>
  <si>
    <t>[new] Is there a transaction/activity monitoring system in place</t>
  </si>
  <si>
    <t>[new] Type of transaction/activity Monitoring System</t>
  </si>
  <si>
    <t>[new] Average time (days)</t>
  </si>
  <si>
    <t>[new category: Systems] - [new] Type of system &gt; [new] Fully manual</t>
  </si>
  <si>
    <t>(qRPE:qRP) Reference period for estimate &gt; [new] Time to analyse the transaction since the moment it occurred</t>
  </si>
  <si>
    <t>[new] Are monitoring system alerts automated</t>
  </si>
  <si>
    <t>[new category: Systems] - [new] Type of system &gt; [new] At least partially automated</t>
  </si>
  <si>
    <t>[new category: Systems] - [new] Automated Alert Triggers &gt; [new] Number of transactions</t>
  </si>
  <si>
    <t>[new category: Systems] - [new] Automated Alert Triggers &gt; [new] Value of aggregated transactions</t>
  </si>
  <si>
    <t>[new category: Systems] - [new] Automated Alert Triggers &gt; [new] Value of single transactions</t>
  </si>
  <si>
    <t>[new category: Systems] - [new] Automated Alert Triggers &gt; [new] Counterparties</t>
  </si>
  <si>
    <t>[new category: Systems] - [new] Automated Alert Triggers &gt; [new] Countries</t>
  </si>
  <si>
    <t>[new] Number of alerts</t>
  </si>
  <si>
    <t>[new category: Systems] - [new] Type of alerts &gt; [new] Not analysed</t>
  </si>
  <si>
    <t>(qRPE:qRP) Reference period for estimate &gt; [new] Time between the alert was generated and the moment that the alert was closed</t>
  </si>
  <si>
    <t>[new] Number of STRs submitted to the FIU</t>
  </si>
  <si>
    <t>[new] Is there a tool for analysing transactions based on information available on distributed ledgers</t>
  </si>
  <si>
    <t>(qRPE:qRP) Reference period for estimate &gt; [new] Time between a potential suspicious transaction resulting in a report to the FIU</t>
  </si>
  <si>
    <t>[new category: Systems] - [new] Type of system &gt; [new] At least partially automated and fully manual</t>
  </si>
  <si>
    <t>[new] Maximum time (hours)</t>
  </si>
  <si>
    <t>(qRPE:qRP) Reference period for estimate &gt; [new] Time between the publication of the TFS by the authorities and the implementation of these changes in the institution's screening tools</t>
  </si>
  <si>
    <t>(qAOH) Number of transfers</t>
  </si>
  <si>
    <t>(qRPE:qRP) Reference period for estimate &gt; [new] Transfers for which requests were received from a counterparty in the transfer chain for information that is missing, incomplete or provided using inadmissible characters</t>
  </si>
  <si>
    <t>[new] Percentage of rejected transfers or returned by the counterparty in the transfer chain</t>
  </si>
  <si>
    <t>[new] Percentage of group entities</t>
  </si>
  <si>
    <t>qTA - [new]: Type of AML/CFT controls &gt; [new] CDD</t>
  </si>
  <si>
    <t>qTA - [new]: Type of AML/CFT controls &gt; [new] Ongoing monitoring</t>
  </si>
  <si>
    <t>qTA - [new]: Type of AML/CFT controls &gt; [new] STRs</t>
  </si>
  <si>
    <t>qTA - [new]: Type of AML/CFT controls &gt; [new] Identity and transactionâ€‘level information on highâ€‘risk customers</t>
  </si>
  <si>
    <t xml:space="preserve">qTA - [new]: Type of AML/CFT controls &gt; [new] Deficienties </t>
  </si>
  <si>
    <t>[new] Percentage of jurisdictions</t>
  </si>
  <si>
    <t>qTE - [new] Type of jurisdiction &gt; [new] Covered by compliance reviews</t>
  </si>
  <si>
    <t>[new] Number of group entities</t>
  </si>
  <si>
    <t>qTE - qAPH: Type of entity &gt; [new] With deficiencies identified by AML/CFT supervisors</t>
  </si>
  <si>
    <t>GA - qOOR: Residence of the counterparty &gt; qx2011 - European Economic Area (EEA)</t>
  </si>
  <si>
    <t>GA - qOOR: Residence of the counterparty &gt; qx2012 - Non-European Economic Area (EEA)</t>
  </si>
  <si>
    <t>Validation Code</t>
  </si>
  <si>
    <t>Table</t>
  </si>
  <si>
    <t>Severity</t>
  </si>
  <si>
    <t>Error message</t>
  </si>
  <si>
    <t>Excel Formula</t>
  </si>
  <si>
    <t>AggregatedErrors</t>
  </si>
  <si>
    <t>Level</t>
  </si>
  <si>
    <t>Consistency</t>
  </si>
  <si>
    <t>ERROR</t>
  </si>
  <si>
    <t>Invalid format: length is not 20, positions 5-6 are not '00'</t>
  </si>
  <si>
    <t>External</t>
  </si>
  <si>
    <t>DataType</t>
  </si>
  <si>
    <t>the value is not an accepted value. Forbidden characters or &gt; 300 chars.</t>
  </si>
  <si>
    <t>MandatoryField</t>
  </si>
  <si>
    <t>C0010 is mandatory</t>
  </si>
  <si>
    <t>C0020 is mandatory</t>
  </si>
  <si>
    <t>C0030 is mandatory</t>
  </si>
  <si>
    <t>the value is not an accepted value. Please select a valid option from the list.</t>
  </si>
  <si>
    <t>C0050 is mandatory</t>
  </si>
  <si>
    <t>C0060 is mandatory</t>
  </si>
  <si>
    <t>C0070 is mandatory</t>
  </si>
  <si>
    <t>C0080 is mandatory</t>
  </si>
  <si>
    <t>C0090 is mandatory</t>
  </si>
  <si>
    <t>C0100 is mandatory</t>
  </si>
  <si>
    <t>C0110 is mandatory</t>
  </si>
  <si>
    <t>C0120 is mandatory</t>
  </si>
  <si>
    <t>C0130 is mandatory</t>
  </si>
  <si>
    <t>C0140 is mandatory</t>
  </si>
  <si>
    <t>C0150 is mandatory</t>
  </si>
  <si>
    <t>C0160 is mandatory</t>
  </si>
  <si>
    <t>C0170 is mandatory</t>
  </si>
  <si>
    <t>C0180 is mandatory</t>
  </si>
  <si>
    <t>C0190 is mandatory</t>
  </si>
  <si>
    <t>C0200 is mandatory</t>
  </si>
  <si>
    <t>C0210 is mandatory</t>
  </si>
  <si>
    <t>C0220 is mandatory</t>
  </si>
  <si>
    <t>C0230 is mandatory</t>
  </si>
  <si>
    <t>C0240 is mandatory</t>
  </si>
  <si>
    <t>C0250 is mandatory</t>
  </si>
  <si>
    <t>C0260 is mandatory</t>
  </si>
  <si>
    <t>C0270 is mandatory</t>
  </si>
  <si>
    <t>C0280 is mandatory</t>
  </si>
  <si>
    <t>C0290 is mandatory</t>
  </si>
  <si>
    <t>B11:B50</t>
  </si>
  <si>
    <t>OK</t>
  </si>
  <si>
    <t>C11:C50</t>
  </si>
  <si>
    <t>D11:D50</t>
  </si>
  <si>
    <t>E11:E50</t>
  </si>
  <si>
    <t>WARNING</t>
  </si>
  <si>
    <t>C0040 is mandatory for reported lines</t>
  </si>
  <si>
    <t>C0010 cannot be negative</t>
  </si>
  <si>
    <t>the value is not an accepted value. Please enter an integer number.</t>
  </si>
  <si>
    <t>C0010 is smaller than the sum of C0020, C0030</t>
  </si>
  <si>
    <t>C0010 is larger than the sum of C0020, C0030</t>
  </si>
  <si>
    <t>C0020 cannot be negative</t>
  </si>
  <si>
    <t>C0030 cannot be negative</t>
  </si>
  <si>
    <t>C0040 cannot be negative</t>
  </si>
  <si>
    <t>C0050 cannot be negative</t>
  </si>
  <si>
    <t>C0060 cannot be negative</t>
  </si>
  <si>
    <t>C0070 cannot be negative</t>
  </si>
  <si>
    <t>C0080 cannot be negative</t>
  </si>
  <si>
    <t>C0090 cannot be negative</t>
  </si>
  <si>
    <t>C0100 cannot be negative</t>
  </si>
  <si>
    <t>C0110 cannot be negative</t>
  </si>
  <si>
    <t>C0120 cannot be negative</t>
  </si>
  <si>
    <t>Inconsistency: C0120 is 0 while C0130 &gt; 0</t>
  </si>
  <si>
    <t>C0130 cannot be negative</t>
  </si>
  <si>
    <t>Inconsistency: C0130 is 0 while C0120 &gt; 0</t>
  </si>
  <si>
    <t>C0140 cannot be negative</t>
  </si>
  <si>
    <t>C0150 cannot be negative</t>
  </si>
  <si>
    <t>C0160 cannot be negative</t>
  </si>
  <si>
    <t>C0170 cannot be negative</t>
  </si>
  <si>
    <t>the value is not an accepted value. Please enter a valid number.</t>
  </si>
  <si>
    <t>Inconsistency: C0020 is 0 while C0030 &gt; 0</t>
  </si>
  <si>
    <t>Inconsistency: C0030 is 0 while C0020 &gt; 0</t>
  </si>
  <si>
    <t>Inconsistency: C0040 is 0 while C0050 &gt; 0</t>
  </si>
  <si>
    <t>Inconsistency: C0050 is 0 while C0040 &gt; 0</t>
  </si>
  <si>
    <t>Inconsistency: C0010 is 0 while C0020 &gt; 0</t>
  </si>
  <si>
    <t>Inconsistency: C0010 is 0 while C0040 &gt; 0</t>
  </si>
  <si>
    <t>Inconsistency: C0020 is 0 while C0010 &gt; 0</t>
  </si>
  <si>
    <t>Inconsistency: C0040 is 0 while C0010 &gt; 0</t>
  </si>
  <si>
    <t>Inconsistency: C0020 is 0 while C0060 &gt; 0</t>
  </si>
  <si>
    <t>Inconsistency: C0050 is 0 while C0100 &gt; 0</t>
  </si>
  <si>
    <t>Inconsistency: C0110 is 0 while C0120 &gt; 0</t>
  </si>
  <si>
    <t>Inconsistency: C0120 is 0 while C0110 &gt; 0</t>
  </si>
  <si>
    <t>C0030 cannot be greater than 1 (100%)</t>
  </si>
  <si>
    <t>the value is not an accepted value. Please enter a number between 0 and 1.</t>
  </si>
  <si>
    <t>Inconsistency: C0010 is 0 while C0050 &gt; 0</t>
  </si>
  <si>
    <t>Inconsistency: C0050 is 0 while C0010 &gt; 0</t>
  </si>
  <si>
    <t>Inconsistency: C0060 is 0 while C0020 &gt; 0</t>
  </si>
  <si>
    <t>Inconsistency: C0070 is 0 while C0010 &gt; 0</t>
  </si>
  <si>
    <t>C0060 cannot be greater than 1 (100%)</t>
  </si>
  <si>
    <t>Inconsistency: C0010 is 0 while C0030 &gt; 0</t>
  </si>
  <si>
    <t>Inconsistency: C0020 is 0 while C0040 &gt; 0</t>
  </si>
  <si>
    <t>Inconsistency: C0030 is 0 while C0010 &gt; 0</t>
  </si>
  <si>
    <t>Inconsistency: C0040 is 0 while C0020 &gt; 0</t>
  </si>
  <si>
    <t>C0010 cannot be greater than AML.02.01 C0010</t>
  </si>
  <si>
    <t>C0020 cannot be greater than AML.02.01 C0010</t>
  </si>
  <si>
    <t>Inconsistency: C0030 is 0 while C0050 &gt; 0</t>
  </si>
  <si>
    <t>Inconsistency: C0050 is 0 while C0030 &gt; 0</t>
  </si>
  <si>
    <t>C0010 cannot be greater than AML.02.01 C0030</t>
  </si>
  <si>
    <t>C0030 cannot be greater than AML.02.01 C0010</t>
  </si>
  <si>
    <t>Inconsistency: C0050 is 0 while C0060 &gt; 0</t>
  </si>
  <si>
    <t>Inconsistency: C0050 is 0 while C0070 &gt; 0</t>
  </si>
  <si>
    <t>Inconsistency: C0050 is 0 while C0080 &gt; 0</t>
  </si>
  <si>
    <t>Inconsistency: C0060 is 0 while C0050 &gt; 0</t>
  </si>
  <si>
    <t>Inconsistency: C0060 is 0 while C0070 &gt; 0</t>
  </si>
  <si>
    <t>C0070 cannot be greater than AML.02.01 C0010</t>
  </si>
  <si>
    <t>Inconsistency: C0070 is 0 while C0050 &gt; 0</t>
  </si>
  <si>
    <t>Inconsistency: C0070 is 0 while C0060 &gt; 0</t>
  </si>
  <si>
    <t>Inconsistency: C0090 is 0 while C0100 &gt; 0</t>
  </si>
  <si>
    <t>Inconsistency: C0090 is 0 while C0110 &gt; 0</t>
  </si>
  <si>
    <t>Inconsistency: C0090 is 0 while C0120 &gt; 0</t>
  </si>
  <si>
    <t>Inconsistency: C0090 is 0 while C0130 &gt; 0</t>
  </si>
  <si>
    <t>C0100 cannot be greater than AML.02.01 C0010</t>
  </si>
  <si>
    <t>Inconsistency: C0100 is 0 while C0090 &gt; 0</t>
  </si>
  <si>
    <t>Inconsistency: C0100 is 0 while C0110 &gt; 0</t>
  </si>
  <si>
    <t>Inconsistency: C0110 is 0 while C0090 &gt; 0</t>
  </si>
  <si>
    <t>Inconsistency: C0110 is 0 while C0100 &gt; 0</t>
  </si>
  <si>
    <t>Inconsistency: C0140 is 0 while C0150 &gt; 0</t>
  </si>
  <si>
    <t>Inconsistency: C0140 is 0 while C0160 &gt; 0</t>
  </si>
  <si>
    <t>C0150 cannot be greater than AML.02.01 C0010</t>
  </si>
  <si>
    <t>Inconsistency: C0150 is 0 while C0140 &gt; 0</t>
  </si>
  <si>
    <t>Inconsistency: C0150 is 0 while C0160 &gt; 0</t>
  </si>
  <si>
    <t>Inconsistency: C0160 is 0 while C0140 &gt; 0</t>
  </si>
  <si>
    <t>Inconsistency: C0160 is 0 while C0150 &gt; 0</t>
  </si>
  <si>
    <t>C0180 cannot be negative</t>
  </si>
  <si>
    <t>C0040 cannot be greater than AML.02.01 C0010</t>
  </si>
  <si>
    <t>C0050 cannot be greater than AML.02.01 C0010</t>
  </si>
  <si>
    <t>C0010 is mandatory for reported lines</t>
  </si>
  <si>
    <t>Duplicate entries found in C0010</t>
  </si>
  <si>
    <t>B11:B200</t>
  </si>
  <si>
    <t>C11:C200</t>
  </si>
  <si>
    <t>C0020 cannot be greater than AML.02.01 C0020</t>
  </si>
  <si>
    <t>D11:D200</t>
  </si>
  <si>
    <t>C0030 cannot be greater than AML.02.01 C0030</t>
  </si>
  <si>
    <t>E11:E200</t>
  </si>
  <si>
    <t>F11:F200</t>
  </si>
  <si>
    <t>G11:G200</t>
  </si>
  <si>
    <t>H11:H200</t>
  </si>
  <si>
    <t>I11:I200</t>
  </si>
  <si>
    <t>Inconsistency: C0080 is 0 while C0090 &gt; 0</t>
  </si>
  <si>
    <t>J11:J200</t>
  </si>
  <si>
    <t>Inconsistency: C0090 is 0 while C0080 &gt; 0</t>
  </si>
  <si>
    <t>K11:K200</t>
  </si>
  <si>
    <t>L11:L200</t>
  </si>
  <si>
    <t>M11:M200</t>
  </si>
  <si>
    <t>N11:N200</t>
  </si>
  <si>
    <t>O11:O200</t>
  </si>
  <si>
    <t>P11:P200</t>
  </si>
  <si>
    <t>Q11:Q200</t>
  </si>
  <si>
    <t>R11:R200</t>
  </si>
  <si>
    <t>the value is not an accepted value. Please enter an Monetary Value</t>
  </si>
  <si>
    <t>C0010 date cannot be after 2025-12-31</t>
  </si>
  <si>
    <t>the value is not an accepted value. Please use the format YYYY/MM/DD.</t>
  </si>
  <si>
    <t>C0040 cannot be greater than 1 (100%)</t>
  </si>
  <si>
    <t>C0050 cannot be greater than 1 (100%)</t>
  </si>
  <si>
    <t>C0110 date cannot be after 2025-12-31</t>
  </si>
  <si>
    <t>C0120 date cannot be after 2025-12-31</t>
  </si>
  <si>
    <t>C0130 date cannot be after 2025-12-31</t>
  </si>
  <si>
    <t>C0140 date cannot be after 2025-12-31</t>
  </si>
  <si>
    <t>C0150 date cannot be after 2025-12-31</t>
  </si>
  <si>
    <t>C0160 date cannot be after 2025-12-31</t>
  </si>
  <si>
    <t>C0170 date cannot be after 2025-12-31</t>
  </si>
  <si>
    <t>C0180 date cannot be after 2025-12-31</t>
  </si>
  <si>
    <t>C0190 date cannot be after 2025-12-31</t>
  </si>
  <si>
    <t>C0030 date cannot be after 2025-12-31</t>
  </si>
  <si>
    <t>Total Outbound Transfers (C0030) cannot be smaller than C0020</t>
  </si>
  <si>
    <t>C0010 cannot be greater than 1 (100%)</t>
  </si>
  <si>
    <t>C0020 cannot be greater than 1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</si>
</sst>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7">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8"/>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8"/>
      <color theme="0"/>
      <name val="Calibri"/>
      <family val="2"/>
      <scheme val="minor"/>
    </font>
    <font>
      <sz val="11"/>
      <color rgb="FFFF0000"/>
      <name val="Calibri"/>
      <family val="2"/>
      <scheme val="minor"/>
    </font>
    <font>
      <sz val="11"/>
      <color theme="1"/>
      <name val="Calibri"/>
      <family val="2"/>
      <charset val="238"/>
      <scheme val="minor"/>
    </font>
    <font>
      <u/>
      <sz val="11"/>
      <color theme="10"/>
      <name val="Calibri"/>
      <family val="2"/>
      <scheme val="minor"/>
    </font>
    <font>
      <sz val="11"/>
      <name val="Calibri"/>
      <family val="2"/>
    </font>
    <font>
      <sz val="11"/>
      <color rgb="FF000000"/>
      <name val="Consolas"/>
      <family val="3"/>
    </font>
    <font>
      <sz val="11"/>
      <color rgb="FF242424"/>
      <name val="Consolas"/>
      <family val="3"/>
    </font>
    <font>
      <b/>
      <sz val="11"/>
      <color rgb="FFFF0000"/>
      <name val="Calibri"/>
      <family val="2"/>
      <scheme val="minor"/>
    </font>
    <font>
      <b/>
      <sz val="20"/>
      <color theme="0"/>
      <name val="Calibri"/>
      <family val="2"/>
      <scheme val="minor"/>
    </font>
    <font>
      <sz val="20"/>
      <color theme="1"/>
      <name val="Calibri"/>
      <family val="2"/>
      <scheme val="minor"/>
    </font>
    <font>
      <b/>
      <sz val="26"/>
      <color theme="0"/>
      <name val="Calibri"/>
      <family val="2"/>
      <scheme val="minor"/>
    </font>
    <font>
      <b/>
      <sz val="18"/>
      <color theme="1"/>
      <name val="Calibri"/>
      <family val="2"/>
      <scheme val="minor"/>
    </font>
    <font>
      <b/>
      <sz val="14"/>
      <color theme="1"/>
      <name val="Calibri"/>
      <family val="2"/>
      <scheme val="minor"/>
    </font>
    <font>
      <b/>
      <sz val="14"/>
      <color rgb="FF000000"/>
      <name val="Calibri"/>
      <family val="2"/>
    </font>
    <font>
      <b/>
      <sz val="16"/>
      <color theme="1"/>
      <name val="Calibri"/>
      <family val="2"/>
      <scheme val="minor"/>
    </font>
    <font>
      <sz val="14"/>
      <color theme="1"/>
      <name val="Calibri"/>
      <family val="2"/>
      <scheme val="minor"/>
    </font>
    <font>
      <b/>
      <sz val="18"/>
      <color rgb="FF000000"/>
      <name val="Calibri"/>
      <family val="2"/>
    </font>
    <font>
      <i/>
      <sz val="14"/>
      <name val="Calibri"/>
      <family val="2"/>
      <scheme val="minor"/>
    </font>
    <font>
      <b/>
      <sz val="24"/>
      <color theme="0"/>
      <name val="Calibri"/>
      <family val="2"/>
      <scheme val="minor"/>
    </font>
    <font>
      <sz val="11"/>
      <name val="Calibri"/>
      <family val="2"/>
      <scheme val="minor"/>
    </font>
    <font>
      <b/>
      <sz val="11"/>
      <name val="Calibri"/>
      <family val="2"/>
      <scheme val="minor"/>
    </font>
    <font>
      <i/>
      <sz val="10"/>
      <color theme="1"/>
      <name val="Calibri"/>
      <family val="2"/>
      <scheme val="minor"/>
    </font>
    <font>
      <b/>
      <sz val="18"/>
      <name val="Calibri"/>
      <family val="2"/>
      <scheme val="minor"/>
    </font>
    <font>
      <sz val="18"/>
      <color theme="1"/>
      <name val="Calibri"/>
      <family val="2"/>
      <scheme val="minor"/>
    </font>
    <font>
      <i/>
      <sz val="18"/>
      <color theme="1"/>
      <name val="Calibri"/>
      <family val="2"/>
      <scheme val="minor"/>
    </font>
    <font>
      <i/>
      <sz val="11"/>
      <name val="Calibri"/>
      <family val="2"/>
      <scheme val="minor"/>
    </font>
    <font>
      <b/>
      <sz val="16"/>
      <color rgb="FF000000"/>
      <name val="Calibri"/>
      <family val="2"/>
    </font>
    <font>
      <i/>
      <sz val="16"/>
      <name val="Calibri"/>
      <family val="2"/>
      <scheme val="minor"/>
    </font>
    <font>
      <sz val="16"/>
      <color indexed="81"/>
      <name val="Tahoma"/>
      <family val="2"/>
    </font>
  </fonts>
  <fills count="22">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BDD7EE"/>
        <bgColor rgb="FF000000"/>
      </patternFill>
    </fill>
    <fill>
      <patternFill patternType="solid">
        <fgColor rgb="FFFFFFFF"/>
        <bgColor indexed="64"/>
      </patternFill>
    </fill>
    <fill>
      <patternFill patternType="solid">
        <fgColor theme="4"/>
      </patternFill>
    </fill>
    <fill>
      <patternFill patternType="solid">
        <fgColor theme="0" tint="-0.14999847407452621"/>
        <bgColor indexed="64"/>
      </patternFill>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theme="4" tint="0.79998168889431442"/>
      </patternFill>
    </fill>
    <fill>
      <patternFill patternType="solid">
        <fgColor theme="3" tint="0.79998168889431442"/>
        <bgColor indexed="64"/>
      </patternFill>
    </fill>
    <fill>
      <patternFill patternType="solid">
        <fgColor rgb="FFFFC000"/>
        <bgColor indexed="64"/>
      </patternFill>
    </fill>
    <fill>
      <patternFill patternType="solid">
        <fgColor rgb="FFFFC000"/>
        <bgColor theme="4" tint="0.79998168889431442"/>
      </patternFill>
    </fill>
    <fill>
      <patternFill patternType="solid">
        <fgColor theme="8"/>
        <bgColor indexed="64"/>
      </patternFill>
    </fill>
    <fill>
      <patternFill patternType="solid">
        <fgColor theme="8"/>
        <bgColor theme="4" tint="0.79998168889431442"/>
      </patternFill>
    </fill>
    <fill>
      <patternFill patternType="solid">
        <fgColor rgb="FFD9E1F2"/>
        <bgColor rgb="FF000000"/>
      </patternFill>
    </fill>
    <fill>
      <patternFill patternType="solid">
        <fgColor rgb="FFD9D9D9"/>
        <bgColor indexed="64"/>
      </patternFill>
    </fill>
    <fill>
      <patternFill patternType="solid">
        <fgColor rgb="FFD9E1F2"/>
        <bgColor indexed="64"/>
      </patternFill>
    </fill>
    <fill>
      <patternFill patternType="solid">
        <fgColor theme="9"/>
        <bgColor indexed="64"/>
      </patternFill>
    </fill>
  </fills>
  <borders count="52">
    <border>
      <left/>
      <right/>
      <top/>
      <bottom/>
      <diagonal/>
    </border>
    <border>
      <left style="thin">
        <color theme="0"/>
      </left>
      <right/>
      <top/>
      <bottom/>
      <diagonal/>
    </border>
    <border>
      <left/>
      <right style="thin">
        <color theme="0"/>
      </right>
      <top/>
      <bottom/>
      <diagonal/>
    </border>
    <border>
      <left style="thin">
        <color rgb="FFFFFFFF"/>
      </left>
      <right style="thin">
        <color rgb="FFFFFFFF"/>
      </right>
      <top style="thin">
        <color rgb="FFFFFFFF"/>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style="medium">
        <color rgb="FFDEE2E6"/>
      </left>
      <right style="medium">
        <color rgb="FFDEE2E6"/>
      </right>
      <top style="medium">
        <color rgb="FFDEE2E6"/>
      </top>
      <bottom style="medium">
        <color rgb="FFDEE2E6"/>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right>
      <top style="thin">
        <color theme="0" tint="-0.14999847407452621"/>
      </top>
      <bottom/>
      <diagonal/>
    </border>
    <border>
      <left style="thin">
        <color theme="0"/>
      </left>
      <right style="thin">
        <color theme="0"/>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ck">
        <color theme="0"/>
      </right>
      <top/>
      <bottom/>
      <diagonal/>
    </border>
    <border>
      <left style="thick">
        <color theme="0"/>
      </left>
      <right/>
      <top/>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double">
        <color theme="1"/>
      </bottom>
      <diagonal/>
    </border>
    <border>
      <left style="thin">
        <color auto="1"/>
      </left>
      <right style="medium">
        <color indexed="64"/>
      </right>
      <top style="thin">
        <color auto="1"/>
      </top>
      <bottom style="double">
        <color theme="1"/>
      </bottom>
      <diagonal/>
    </border>
    <border>
      <left style="thin">
        <color auto="1"/>
      </left>
      <right/>
      <top style="thin">
        <color auto="1"/>
      </top>
      <bottom style="thin">
        <color auto="1"/>
      </bottom>
      <diagonal/>
    </border>
    <border>
      <left/>
      <right style="thin">
        <color auto="1"/>
      </right>
      <top style="thin">
        <color auto="1"/>
      </top>
      <bottom style="double">
        <color theme="1"/>
      </bottom>
      <diagonal/>
    </border>
    <border>
      <left/>
      <right style="thin">
        <color auto="1"/>
      </right>
      <top style="thin">
        <color auto="1"/>
      </top>
      <bottom/>
      <diagonal/>
    </border>
    <border>
      <left style="thin">
        <color auto="1"/>
      </left>
      <right style="medium">
        <color indexed="64"/>
      </right>
      <top style="thin">
        <color auto="1"/>
      </top>
      <bottom/>
      <diagonal/>
    </border>
    <border>
      <left style="thin">
        <color theme="1"/>
      </left>
      <right style="thin">
        <color theme="1"/>
      </right>
      <top style="thin">
        <color theme="1"/>
      </top>
      <bottom style="thin">
        <color theme="1"/>
      </bottom>
      <diagonal/>
    </border>
    <border>
      <left style="thin">
        <color auto="1"/>
      </left>
      <right style="thin">
        <color theme="0" tint="-0.499984740745262"/>
      </right>
      <top style="thin">
        <color theme="0" tint="-0.499984740745262"/>
      </top>
      <bottom/>
      <diagonal/>
    </border>
    <border>
      <left style="thin">
        <color auto="1"/>
      </left>
      <right style="thin">
        <color theme="0" tint="-0.499984740745262"/>
      </right>
      <top/>
      <bottom/>
      <diagonal/>
    </border>
    <border>
      <left style="thin">
        <color auto="1"/>
      </left>
      <right style="thin">
        <color theme="0" tint="-0.499984740745262"/>
      </right>
      <top/>
      <bottom style="double">
        <color theme="1"/>
      </bottom>
      <diagonal/>
    </border>
    <border>
      <left/>
      <right/>
      <top style="medium">
        <color indexed="64"/>
      </top>
      <bottom style="thin">
        <color indexed="64"/>
      </bottom>
      <diagonal/>
    </border>
    <border>
      <left style="thin">
        <color theme="1"/>
      </left>
      <right style="thin">
        <color theme="1"/>
      </right>
      <top/>
      <bottom style="thin">
        <color theme="1"/>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thin">
        <color rgb="FFFFFFFF"/>
      </right>
      <top style="thin">
        <color rgb="FFFFFFFF"/>
      </top>
      <bottom/>
      <diagonal/>
    </border>
    <border>
      <left style="thin">
        <color auto="1"/>
      </left>
      <right/>
      <top style="thin">
        <color auto="1"/>
      </top>
      <bottom style="double">
        <color theme="1"/>
      </bottom>
      <diagonal/>
    </border>
  </borders>
  <cellStyleXfs count="4">
    <xf numFmtId="0" fontId="0" fillId="0" borderId="0"/>
    <xf numFmtId="0" fontId="2" fillId="6" borderId="0" applyNumberFormat="0" applyBorder="0" applyAlignment="0" applyProtection="0"/>
    <xf numFmtId="0" fontId="10" fillId="0" borderId="0"/>
    <xf numFmtId="0" fontId="11" fillId="0" borderId="0" applyNumberFormat="0" applyFill="0" applyBorder="0" applyAlignment="0" applyProtection="0"/>
  </cellStyleXfs>
  <cellXfs count="210">
    <xf numFmtId="0" fontId="0" fillId="0" borderId="0" xfId="0"/>
    <xf numFmtId="0" fontId="11" fillId="3" borderId="10" xfId="3" applyFill="1" applyBorder="1" applyAlignment="1" applyProtection="1">
      <alignment horizontal="center"/>
    </xf>
    <xf numFmtId="0" fontId="11" fillId="3" borderId="8" xfId="3" applyFill="1" applyBorder="1" applyAlignment="1" applyProtection="1">
      <alignment horizontal="center"/>
    </xf>
    <xf numFmtId="0" fontId="25" fillId="9" borderId="0" xfId="1" applyFont="1" applyFill="1" applyAlignment="1" applyProtection="1">
      <alignment horizontal="center" vertical="center"/>
    </xf>
    <xf numFmtId="0" fontId="25" fillId="9" borderId="0" xfId="1" applyFont="1" applyFill="1" applyAlignment="1" applyProtection="1">
      <alignment horizontal="right" vertical="center"/>
    </xf>
    <xf numFmtId="0" fontId="25" fillId="3" borderId="0" xfId="1" applyFont="1" applyFill="1" applyAlignment="1" applyProtection="1">
      <alignment horizontal="right" vertical="center" wrapText="1"/>
    </xf>
    <xf numFmtId="0" fontId="33" fillId="3" borderId="0" xfId="1" applyFont="1" applyFill="1" applyAlignment="1" applyProtection="1">
      <alignment horizontal="right" vertical="center" wrapText="1"/>
    </xf>
    <xf numFmtId="0" fontId="35" fillId="3" borderId="0" xfId="1" applyFont="1" applyFill="1" applyAlignment="1" applyProtection="1">
      <alignment horizontal="right" vertical="center" wrapText="1"/>
    </xf>
    <xf numFmtId="0" fontId="11" fillId="3" borderId="30" xfId="3" applyFill="1" applyBorder="1" applyAlignment="1" applyProtection="1">
      <alignment horizontal="center" vertical="center"/>
    </xf>
    <xf numFmtId="0" fontId="11" fillId="3" borderId="32" xfId="3" applyFill="1" applyBorder="1" applyAlignment="1" applyProtection="1">
      <alignment horizontal="center" vertical="center"/>
    </xf>
    <xf numFmtId="49" fontId="0" fillId="5" borderId="0" xfId="0" applyNumberFormat="1" applyFill="1" applyProtection="1">
      <protection locked="0"/>
    </xf>
    <xf numFmtId="0" fontId="0" fillId="0" borderId="0" xfId="0" applyAlignment="1">
      <alignment horizontal="center"/>
    </xf>
    <xf numFmtId="0" fontId="28" fillId="0" borderId="0" xfId="0" applyFont="1" applyAlignment="1">
      <alignment horizontal="right" vertical="top"/>
    </xf>
    <xf numFmtId="0" fontId="28" fillId="0" borderId="0" xfId="0" applyFont="1" applyAlignment="1">
      <alignment horizontal="left" vertical="top" wrapText="1" indent="1"/>
    </xf>
    <xf numFmtId="0" fontId="28" fillId="0" borderId="0" xfId="0" applyFont="1" applyAlignment="1">
      <alignment horizontal="center" vertical="top"/>
    </xf>
    <xf numFmtId="0" fontId="0" fillId="0" borderId="0" xfId="0" applyAlignment="1">
      <alignment horizontal="center" vertical="center"/>
    </xf>
    <xf numFmtId="0" fontId="0" fillId="0" borderId="0" xfId="0" applyAlignment="1">
      <alignment vertical="center"/>
    </xf>
    <xf numFmtId="0" fontId="28" fillId="0" borderId="0" xfId="0" applyFont="1" applyAlignment="1">
      <alignment horizontal="left" vertical="center"/>
    </xf>
    <xf numFmtId="0" fontId="28" fillId="0" borderId="0" xfId="0" applyFont="1" applyAlignment="1">
      <alignment horizontal="left" vertical="center" wrapText="1"/>
    </xf>
    <xf numFmtId="0" fontId="0" fillId="0" borderId="0" xfId="0" applyAlignment="1">
      <alignment horizontal="left" vertical="center"/>
    </xf>
    <xf numFmtId="0" fontId="16" fillId="0" borderId="0" xfId="0" applyFont="1" applyAlignment="1">
      <alignment horizontal="left" vertical="center"/>
    </xf>
    <xf numFmtId="0" fontId="0" fillId="0" borderId="0" xfId="0" applyAlignment="1">
      <alignment horizontal="center" wrapText="1"/>
    </xf>
    <xf numFmtId="0" fontId="1" fillId="13" borderId="21" xfId="0" applyFont="1" applyFill="1" applyBorder="1" applyAlignment="1">
      <alignment horizontal="center" vertical="center" wrapText="1"/>
    </xf>
    <xf numFmtId="0" fontId="1" fillId="13" borderId="45" xfId="0" applyFont="1" applyFill="1" applyBorder="1" applyAlignment="1">
      <alignment horizontal="center" vertical="center" wrapText="1"/>
    </xf>
    <xf numFmtId="0" fontId="1" fillId="13" borderId="22" xfId="0" applyFont="1" applyFill="1" applyBorder="1" applyAlignment="1">
      <alignment horizontal="left" vertical="center" wrapText="1" indent="1"/>
    </xf>
    <xf numFmtId="0" fontId="1" fillId="13" borderId="22"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0" fillId="3" borderId="20" xfId="0" applyFill="1" applyBorder="1" applyAlignment="1">
      <alignment horizontal="left" vertical="center" wrapText="1" indent="1"/>
    </xf>
    <xf numFmtId="0" fontId="0" fillId="3" borderId="20" xfId="0" applyFill="1" applyBorder="1" applyAlignment="1">
      <alignment horizontal="center" vertical="center"/>
    </xf>
    <xf numFmtId="0" fontId="0" fillId="3" borderId="37" xfId="0" applyFill="1" applyBorder="1" applyAlignment="1">
      <alignment horizontal="center" vertical="center"/>
    </xf>
    <xf numFmtId="0" fontId="0" fillId="0" borderId="34" xfId="0" applyBorder="1" applyAlignment="1">
      <alignment horizontal="center" vertical="center"/>
    </xf>
    <xf numFmtId="0" fontId="0" fillId="0" borderId="31" xfId="0" applyBorder="1" applyAlignment="1">
      <alignment horizontal="center" vertical="center"/>
    </xf>
    <xf numFmtId="0" fontId="0" fillId="3" borderId="16" xfId="0" applyFill="1" applyBorder="1" applyAlignment="1">
      <alignment horizontal="center" vertical="center"/>
    </xf>
    <xf numFmtId="0" fontId="0" fillId="0" borderId="20" xfId="0" applyBorder="1" applyAlignment="1">
      <alignment horizontal="center" vertical="center"/>
    </xf>
    <xf numFmtId="0" fontId="0" fillId="0" borderId="37" xfId="0" applyBorder="1" applyAlignment="1">
      <alignment horizontal="center" vertical="center"/>
    </xf>
    <xf numFmtId="0" fontId="0" fillId="0" borderId="20" xfId="0" applyBorder="1" applyAlignment="1">
      <alignment horizontal="left" vertical="center" wrapText="1" indent="1"/>
    </xf>
    <xf numFmtId="0" fontId="0" fillId="3" borderId="20" xfId="0" applyFill="1" applyBorder="1" applyAlignment="1">
      <alignment horizontal="center" vertical="center" wrapText="1"/>
    </xf>
    <xf numFmtId="0" fontId="0" fillId="0" borderId="20" xfId="0" applyBorder="1" applyAlignment="1">
      <alignment horizontal="center" vertical="center" wrapText="1"/>
    </xf>
    <xf numFmtId="0" fontId="0" fillId="3" borderId="8" xfId="0"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3" borderId="35" xfId="0" applyFill="1" applyBorder="1" applyAlignment="1">
      <alignment horizontal="left" vertical="center" wrapText="1" indent="1"/>
    </xf>
    <xf numFmtId="0" fontId="0" fillId="3" borderId="33" xfId="0" applyFill="1" applyBorder="1" applyAlignment="1">
      <alignment horizontal="center" vertical="center"/>
    </xf>
    <xf numFmtId="0" fontId="0" fillId="3" borderId="51" xfId="0" applyFill="1" applyBorder="1" applyAlignment="1">
      <alignment horizontal="center" vertical="center"/>
    </xf>
    <xf numFmtId="0" fontId="0" fillId="0" borderId="38" xfId="0" applyBorder="1" applyAlignment="1">
      <alignment horizontal="center" vertical="center"/>
    </xf>
    <xf numFmtId="0" fontId="0" fillId="0" borderId="36" xfId="0" applyBorder="1" applyAlignment="1">
      <alignment horizontal="center" vertical="center"/>
    </xf>
    <xf numFmtId="0" fontId="0" fillId="13" borderId="24" xfId="0" applyFill="1" applyBorder="1" applyAlignment="1">
      <alignment vertical="center"/>
    </xf>
    <xf numFmtId="0" fontId="0" fillId="13" borderId="25" xfId="0" applyFill="1" applyBorder="1" applyAlignment="1">
      <alignment vertical="center"/>
    </xf>
    <xf numFmtId="0" fontId="0" fillId="13" borderId="25" xfId="0" applyFill="1" applyBorder="1" applyAlignment="1">
      <alignment horizontal="left" vertical="center" wrapText="1" indent="1"/>
    </xf>
    <xf numFmtId="0" fontId="0" fillId="13" borderId="25" xfId="0" applyFill="1" applyBorder="1" applyAlignment="1">
      <alignment horizontal="center" vertical="center"/>
    </xf>
    <xf numFmtId="0" fontId="1" fillId="13" borderId="25" xfId="0" applyFont="1" applyFill="1" applyBorder="1" applyAlignment="1">
      <alignment horizontal="center" vertical="center"/>
    </xf>
    <xf numFmtId="0" fontId="1" fillId="0" borderId="25" xfId="0" applyFont="1" applyBorder="1" applyAlignment="1">
      <alignment horizontal="center" vertical="center"/>
    </xf>
    <xf numFmtId="0" fontId="1" fillId="0" borderId="26" xfId="0" applyFont="1" applyBorder="1" applyAlignment="1">
      <alignment horizontal="center" vertical="center"/>
    </xf>
    <xf numFmtId="0" fontId="0" fillId="0" borderId="0" xfId="0" applyAlignment="1">
      <alignment horizontal="left" wrapText="1" indent="1"/>
    </xf>
    <xf numFmtId="0" fontId="0" fillId="3" borderId="0" xfId="0" applyFill="1" applyAlignment="1">
      <alignment horizontal="right" vertical="center"/>
    </xf>
    <xf numFmtId="0" fontId="0" fillId="3" borderId="0" xfId="0" applyFill="1" applyAlignment="1">
      <alignment horizontal="left"/>
    </xf>
    <xf numFmtId="0" fontId="0" fillId="0" borderId="0" xfId="0" applyAlignment="1">
      <alignment horizontal="right"/>
    </xf>
    <xf numFmtId="0" fontId="0" fillId="3" borderId="0" xfId="0" applyFill="1"/>
    <xf numFmtId="0" fontId="26" fillId="2" borderId="0" xfId="0" applyFont="1" applyFill="1" applyAlignment="1">
      <alignment horizontal="center" vertical="center"/>
    </xf>
    <xf numFmtId="0" fontId="0" fillId="5" borderId="0" xfId="0" applyFill="1" applyAlignment="1">
      <alignment horizontal="left" vertical="center" wrapText="1"/>
    </xf>
    <xf numFmtId="0" fontId="0" fillId="5" borderId="0" xfId="0" applyFill="1" applyAlignment="1">
      <alignment horizontal="center" vertical="center" wrapText="1"/>
    </xf>
    <xf numFmtId="0" fontId="32" fillId="0" borderId="0" xfId="0" applyFont="1" applyAlignment="1">
      <alignment horizontal="right" vertical="center" wrapText="1"/>
    </xf>
    <xf numFmtId="49" fontId="24" fillId="18" borderId="47" xfId="0" applyNumberFormat="1" applyFont="1" applyFill="1" applyBorder="1" applyAlignment="1">
      <alignment horizontal="center" vertical="center" wrapText="1"/>
    </xf>
    <xf numFmtId="0" fontId="0" fillId="3" borderId="0" xfId="0" applyFill="1" applyAlignment="1">
      <alignment horizontal="center"/>
    </xf>
    <xf numFmtId="49" fontId="34" fillId="18" borderId="19" xfId="0" applyNumberFormat="1" applyFont="1" applyFill="1" applyBorder="1" applyAlignment="1">
      <alignment horizontal="center" vertical="center" wrapText="1"/>
    </xf>
    <xf numFmtId="49" fontId="34" fillId="18" borderId="48" xfId="0" applyNumberFormat="1" applyFont="1" applyFill="1" applyBorder="1" applyAlignment="1">
      <alignment horizontal="center" vertical="center" wrapText="1"/>
    </xf>
    <xf numFmtId="49" fontId="34" fillId="18" borderId="49" xfId="0" applyNumberFormat="1" applyFont="1" applyFill="1" applyBorder="1" applyAlignment="1">
      <alignment horizontal="center" vertical="center" wrapText="1"/>
    </xf>
    <xf numFmtId="49" fontId="34" fillId="18" borderId="47" xfId="0" applyNumberFormat="1" applyFont="1" applyFill="1" applyBorder="1" applyAlignment="1">
      <alignment horizontal="center" vertical="center" wrapText="1"/>
    </xf>
    <xf numFmtId="0" fontId="23" fillId="0" borderId="0" xfId="0" applyFont="1" applyAlignment="1">
      <alignment horizontal="center" vertical="center"/>
    </xf>
    <xf numFmtId="0" fontId="21" fillId="18" borderId="19" xfId="0" applyFont="1" applyFill="1" applyBorder="1" applyAlignment="1">
      <alignment horizontal="center" vertical="center" wrapText="1"/>
    </xf>
    <xf numFmtId="49" fontId="21" fillId="18" borderId="19" xfId="0" applyNumberFormat="1" applyFont="1" applyFill="1" applyBorder="1" applyAlignment="1">
      <alignment horizontal="center" vertical="center" wrapText="1"/>
    </xf>
    <xf numFmtId="0" fontId="21" fillId="18" borderId="48" xfId="0" applyFont="1" applyFill="1" applyBorder="1" applyAlignment="1">
      <alignment horizontal="center" vertical="center" wrapText="1"/>
    </xf>
    <xf numFmtId="49" fontId="21" fillId="18" borderId="49" xfId="0" applyNumberFormat="1" applyFont="1" applyFill="1" applyBorder="1" applyAlignment="1">
      <alignment horizontal="center" vertical="center" wrapText="1"/>
    </xf>
    <xf numFmtId="0" fontId="21" fillId="18" borderId="47" xfId="0" applyFont="1" applyFill="1" applyBorder="1" applyAlignment="1">
      <alignment horizontal="center" vertical="center" wrapText="1"/>
    </xf>
    <xf numFmtId="0" fontId="3" fillId="18" borderId="19" xfId="0" applyFont="1" applyFill="1" applyBorder="1" applyAlignment="1">
      <alignment horizontal="center" vertical="center" wrapText="1"/>
    </xf>
    <xf numFmtId="0" fontId="3" fillId="18" borderId="48" xfId="0" applyFont="1" applyFill="1" applyBorder="1" applyAlignment="1">
      <alignment horizontal="center" vertical="center" wrapText="1"/>
    </xf>
    <xf numFmtId="0" fontId="3" fillId="18" borderId="49" xfId="0" applyFont="1" applyFill="1" applyBorder="1" applyAlignment="1">
      <alignment horizontal="center" vertical="center" wrapText="1"/>
    </xf>
    <xf numFmtId="0" fontId="3" fillId="18" borderId="47" xfId="0" applyFont="1" applyFill="1" applyBorder="1" applyAlignment="1">
      <alignment horizontal="center" vertical="center" wrapText="1"/>
    </xf>
    <xf numFmtId="0" fontId="12" fillId="19" borderId="19" xfId="0" quotePrefix="1" applyFont="1" applyFill="1" applyBorder="1" applyAlignment="1">
      <alignment horizontal="center" vertical="center" wrapText="1"/>
    </xf>
    <xf numFmtId="0" fontId="12" fillId="19" borderId="19" xfId="0" applyFont="1" applyFill="1" applyBorder="1" applyAlignment="1">
      <alignment horizontal="center" vertical="center" wrapText="1"/>
    </xf>
    <xf numFmtId="0" fontId="12" fillId="19" borderId="48" xfId="0" quotePrefix="1" applyFont="1" applyFill="1" applyBorder="1" applyAlignment="1">
      <alignment horizontal="center" vertical="center" wrapText="1"/>
    </xf>
    <xf numFmtId="0" fontId="12" fillId="19" borderId="49" xfId="0" quotePrefix="1" applyFont="1" applyFill="1" applyBorder="1" applyAlignment="1">
      <alignment horizontal="center" vertical="center" wrapText="1"/>
    </xf>
    <xf numFmtId="0" fontId="12" fillId="19" borderId="47" xfId="0" quotePrefix="1" applyFont="1" applyFill="1" applyBorder="1" applyAlignment="1">
      <alignment horizontal="center" vertical="center" wrapText="1"/>
    </xf>
    <xf numFmtId="0" fontId="0" fillId="5" borderId="0" xfId="0" applyFill="1" applyAlignment="1">
      <alignment horizontal="center" vertical="center"/>
    </xf>
    <xf numFmtId="0" fontId="23" fillId="0" borderId="0" xfId="0" applyFont="1" applyAlignment="1">
      <alignment horizontal="right" vertical="center"/>
    </xf>
    <xf numFmtId="49" fontId="0" fillId="0" borderId="0" xfId="0" applyNumberFormat="1"/>
    <xf numFmtId="0" fontId="0" fillId="0" borderId="14" xfId="0" applyBorder="1"/>
    <xf numFmtId="0" fontId="0" fillId="0" borderId="15" xfId="0" applyBorder="1"/>
    <xf numFmtId="0" fontId="0" fillId="5" borderId="0" xfId="0" applyFill="1" applyProtection="1">
      <protection locked="0"/>
    </xf>
    <xf numFmtId="49" fontId="3" fillId="18" borderId="19" xfId="0" applyNumberFormat="1" applyFont="1" applyFill="1" applyBorder="1" applyAlignment="1">
      <alignment horizontal="center" vertical="center" wrapText="1"/>
    </xf>
    <xf numFmtId="49" fontId="3" fillId="18" borderId="48" xfId="0" applyNumberFormat="1" applyFont="1" applyFill="1" applyBorder="1" applyAlignment="1">
      <alignment horizontal="center" vertical="center" wrapText="1"/>
    </xf>
    <xf numFmtId="49" fontId="3" fillId="18" borderId="49" xfId="0" applyNumberFormat="1" applyFont="1" applyFill="1" applyBorder="1" applyAlignment="1">
      <alignment horizontal="center" vertical="center" wrapText="1"/>
    </xf>
    <xf numFmtId="0" fontId="12" fillId="19" borderId="49" xfId="0" applyFont="1" applyFill="1" applyBorder="1" applyAlignment="1">
      <alignment horizontal="center" vertical="center" wrapText="1"/>
    </xf>
    <xf numFmtId="0" fontId="20" fillId="0" borderId="0" xfId="0" applyFont="1" applyAlignment="1">
      <alignment horizontal="center" vertical="center"/>
    </xf>
    <xf numFmtId="49" fontId="0" fillId="5" borderId="0" xfId="0" applyNumberFormat="1" applyFill="1" applyAlignment="1">
      <alignment horizontal="center" vertical="center"/>
    </xf>
    <xf numFmtId="49" fontId="0" fillId="3" borderId="0" xfId="0" applyNumberFormat="1" applyFill="1"/>
    <xf numFmtId="0" fontId="8" fillId="0" borderId="0" xfId="0" applyFont="1" applyAlignment="1">
      <alignment horizontal="left" vertical="center" wrapText="1"/>
    </xf>
    <xf numFmtId="49" fontId="0" fillId="5" borderId="0" xfId="0" applyNumberFormat="1" applyFill="1" applyAlignment="1">
      <alignment horizontal="center" vertical="center" wrapText="1"/>
    </xf>
    <xf numFmtId="49" fontId="24" fillId="18" borderId="19" xfId="0" applyNumberFormat="1" applyFont="1" applyFill="1" applyBorder="1" applyAlignment="1">
      <alignment horizontal="center" vertical="center" wrapText="1"/>
    </xf>
    <xf numFmtId="0" fontId="22" fillId="20" borderId="19" xfId="0" applyFont="1" applyFill="1" applyBorder="1" applyAlignment="1">
      <alignment horizontal="center" vertical="center" wrapText="1"/>
    </xf>
    <xf numFmtId="0" fontId="22" fillId="20" borderId="48" xfId="0" applyFont="1" applyFill="1" applyBorder="1" applyAlignment="1">
      <alignment horizontal="center" vertical="center" wrapText="1"/>
    </xf>
    <xf numFmtId="0" fontId="22" fillId="20" borderId="49" xfId="0" applyFont="1" applyFill="1" applyBorder="1" applyAlignment="1">
      <alignment horizontal="center" vertical="center" wrapText="1"/>
    </xf>
    <xf numFmtId="0" fontId="22" fillId="20" borderId="47" xfId="0" applyFont="1" applyFill="1" applyBorder="1" applyAlignment="1">
      <alignment horizontal="center" vertical="center" wrapText="1"/>
    </xf>
    <xf numFmtId="49" fontId="21" fillId="18" borderId="48" xfId="0" applyNumberFormat="1" applyFont="1" applyFill="1" applyBorder="1" applyAlignment="1">
      <alignment horizontal="center" vertical="center" wrapText="1"/>
    </xf>
    <xf numFmtId="49" fontId="21" fillId="18" borderId="47" xfId="0" applyNumberFormat="1" applyFont="1" applyFill="1" applyBorder="1" applyAlignment="1">
      <alignment horizontal="center" vertical="center" wrapText="1"/>
    </xf>
    <xf numFmtId="1" fontId="0" fillId="5" borderId="0" xfId="0" applyNumberFormat="1" applyFill="1" applyProtection="1">
      <protection locked="0"/>
    </xf>
    <xf numFmtId="0" fontId="0" fillId="0" borderId="0" xfId="0" applyAlignment="1">
      <alignment horizontal="center" vertical="center" wrapText="1"/>
    </xf>
    <xf numFmtId="0" fontId="0" fillId="0" borderId="0" xfId="0" applyAlignment="1">
      <alignment horizontal="center" vertical="top"/>
    </xf>
    <xf numFmtId="2" fontId="0" fillId="5" borderId="0" xfId="0" applyNumberFormat="1" applyFill="1" applyProtection="1">
      <protection locked="0"/>
    </xf>
    <xf numFmtId="0" fontId="15" fillId="0" borderId="0" xfId="0" applyFont="1"/>
    <xf numFmtId="0" fontId="0" fillId="0" borderId="1" xfId="0" applyBorder="1"/>
    <xf numFmtId="0" fontId="3" fillId="19" borderId="19" xfId="0" quotePrefix="1" applyFont="1" applyFill="1" applyBorder="1" applyAlignment="1">
      <alignment horizontal="center" vertical="center" wrapText="1"/>
    </xf>
    <xf numFmtId="0" fontId="3" fillId="19" borderId="48" xfId="0" quotePrefix="1" applyFont="1" applyFill="1" applyBorder="1" applyAlignment="1">
      <alignment horizontal="center" vertical="center" wrapText="1"/>
    </xf>
    <xf numFmtId="0" fontId="3" fillId="19" borderId="49" xfId="0" quotePrefix="1" applyFont="1" applyFill="1" applyBorder="1" applyAlignment="1">
      <alignment horizontal="center" vertical="center" wrapText="1"/>
    </xf>
    <xf numFmtId="0" fontId="3" fillId="19" borderId="47" xfId="0" quotePrefix="1" applyFont="1" applyFill="1" applyBorder="1" applyAlignment="1">
      <alignment horizontal="center" vertical="center" wrapText="1"/>
    </xf>
    <xf numFmtId="0" fontId="21" fillId="18" borderId="49" xfId="0" applyFont="1" applyFill="1" applyBorder="1" applyAlignment="1">
      <alignment horizontal="center" vertical="center" wrapText="1"/>
    </xf>
    <xf numFmtId="0" fontId="13" fillId="0" borderId="0" xfId="0" applyFont="1"/>
    <xf numFmtId="0" fontId="14" fillId="0" borderId="0" xfId="0" applyFont="1"/>
    <xf numFmtId="0" fontId="0" fillId="0" borderId="50" xfId="0" applyBorder="1" applyAlignment="1">
      <alignment horizontal="center" vertical="center"/>
    </xf>
    <xf numFmtId="0" fontId="0" fillId="0" borderId="3" xfId="0" applyBorder="1" applyAlignment="1">
      <alignment horizontal="center" vertical="center"/>
    </xf>
    <xf numFmtId="0" fontId="0" fillId="0" borderId="47" xfId="0" applyBorder="1" applyAlignment="1">
      <alignment horizontal="center" vertical="center"/>
    </xf>
    <xf numFmtId="0" fontId="0" fillId="0" borderId="19" xfId="0" applyBorder="1" applyAlignment="1">
      <alignment horizontal="center" vertical="center"/>
    </xf>
    <xf numFmtId="0" fontId="17" fillId="0" borderId="0" xfId="0" applyFont="1"/>
    <xf numFmtId="0" fontId="0" fillId="0" borderId="47" xfId="0" applyBorder="1"/>
    <xf numFmtId="0" fontId="0" fillId="0" borderId="19" xfId="0" applyBorder="1"/>
    <xf numFmtId="0" fontId="17" fillId="3" borderId="0" xfId="0" applyFont="1" applyFill="1"/>
    <xf numFmtId="0" fontId="31" fillId="20" borderId="19" xfId="0" applyFont="1" applyFill="1" applyBorder="1" applyAlignment="1">
      <alignment horizontal="center" vertical="center" wrapText="1"/>
    </xf>
    <xf numFmtId="0" fontId="8" fillId="0" borderId="0" xfId="0" applyFont="1" applyAlignment="1">
      <alignment horizontal="left" vertical="center"/>
    </xf>
    <xf numFmtId="0" fontId="0" fillId="0" borderId="0" xfId="0" applyAlignment="1">
      <alignment wrapText="1"/>
    </xf>
    <xf numFmtId="164" fontId="0" fillId="5" borderId="0" xfId="0" applyNumberFormat="1" applyFill="1" applyProtection="1">
      <protection locked="0"/>
    </xf>
    <xf numFmtId="0" fontId="0" fillId="0" borderId="0" xfId="0" quotePrefix="1"/>
    <xf numFmtId="49" fontId="9" fillId="0" borderId="0" xfId="0" applyNumberFormat="1" applyFont="1"/>
    <xf numFmtId="0" fontId="9" fillId="0" borderId="0" xfId="0" applyFont="1"/>
    <xf numFmtId="0" fontId="16" fillId="2" borderId="0" xfId="0" applyFont="1" applyFill="1" applyAlignment="1">
      <alignment horizontal="right" vertical="center"/>
    </xf>
    <xf numFmtId="0" fontId="22" fillId="3" borderId="0" xfId="0" applyFont="1" applyFill="1" applyAlignment="1">
      <alignment horizontal="right" vertical="center"/>
    </xf>
    <xf numFmtId="0" fontId="0" fillId="7" borderId="12" xfId="0" applyFill="1" applyBorder="1" applyAlignment="1">
      <alignment horizontal="center" vertical="center" wrapText="1"/>
    </xf>
    <xf numFmtId="0" fontId="0" fillId="7" borderId="2" xfId="0" applyFill="1" applyBorder="1" applyAlignment="1">
      <alignment horizontal="center" vertical="center" wrapText="1"/>
    </xf>
    <xf numFmtId="0" fontId="0" fillId="7" borderId="11" xfId="0" applyFill="1" applyBorder="1" applyAlignment="1">
      <alignment horizontal="center" vertical="center" wrapText="1"/>
    </xf>
    <xf numFmtId="0" fontId="0" fillId="3" borderId="10" xfId="0" applyFill="1" applyBorder="1" applyAlignment="1">
      <alignment horizontal="center"/>
    </xf>
    <xf numFmtId="0" fontId="0" fillId="3" borderId="10" xfId="0" applyFill="1" applyBorder="1" applyAlignment="1">
      <alignment horizontal="left"/>
    </xf>
    <xf numFmtId="0" fontId="0" fillId="3" borderId="16" xfId="0" applyFill="1" applyBorder="1" applyAlignment="1">
      <alignment horizontal="center"/>
    </xf>
    <xf numFmtId="0" fontId="0" fillId="3" borderId="13" xfId="0" applyFill="1" applyBorder="1" applyAlignment="1">
      <alignment horizontal="left"/>
    </xf>
    <xf numFmtId="0" fontId="0" fillId="3" borderId="8" xfId="0" applyFill="1" applyBorder="1" applyAlignment="1">
      <alignment horizontal="center"/>
    </xf>
    <xf numFmtId="0" fontId="0" fillId="3" borderId="9" xfId="0" applyFill="1" applyBorder="1" applyAlignment="1">
      <alignment horizontal="left"/>
    </xf>
    <xf numFmtId="0" fontId="0" fillId="3" borderId="8" xfId="0" applyFill="1" applyBorder="1"/>
    <xf numFmtId="0" fontId="5" fillId="4" borderId="4" xfId="0" applyFont="1" applyFill="1" applyBorder="1"/>
    <xf numFmtId="0" fontId="6" fillId="4" borderId="5" xfId="0" applyFont="1" applyFill="1" applyBorder="1"/>
    <xf numFmtId="0" fontId="6" fillId="4" borderId="0" xfId="0" applyFont="1" applyFill="1"/>
    <xf numFmtId="0" fontId="0" fillId="0" borderId="0" xfId="0" applyAlignment="1">
      <alignment vertical="center" wrapText="1"/>
    </xf>
    <xf numFmtId="0" fontId="7" fillId="5" borderId="7" xfId="0" applyFont="1" applyFill="1" applyBorder="1" applyAlignment="1">
      <alignment vertical="center" wrapText="1"/>
    </xf>
    <xf numFmtId="0" fontId="6" fillId="4" borderId="6" xfId="0" applyFont="1" applyFill="1" applyBorder="1"/>
    <xf numFmtId="0" fontId="1" fillId="0" borderId="0" xfId="0" applyFont="1" applyAlignment="1">
      <alignment vertical="top"/>
    </xf>
    <xf numFmtId="0" fontId="1" fillId="0" borderId="0" xfId="0" applyFont="1"/>
    <xf numFmtId="0" fontId="1"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0" fillId="12" borderId="28" xfId="0" applyFill="1" applyBorder="1"/>
    <xf numFmtId="0" fontId="0" fillId="12" borderId="27" xfId="0" applyFill="1" applyBorder="1"/>
    <xf numFmtId="0" fontId="0" fillId="12" borderId="29" xfId="0" applyFill="1" applyBorder="1"/>
    <xf numFmtId="0" fontId="0" fillId="3" borderId="28" xfId="0" applyFill="1" applyBorder="1"/>
    <xf numFmtId="0" fontId="0" fillId="3" borderId="27" xfId="0" applyFill="1" applyBorder="1"/>
    <xf numFmtId="0" fontId="0" fillId="3" borderId="29" xfId="0" applyFill="1" applyBorder="1"/>
    <xf numFmtId="0" fontId="0" fillId="8" borderId="27" xfId="0" applyFill="1" applyBorder="1"/>
    <xf numFmtId="0" fontId="0" fillId="21" borderId="27" xfId="0" applyFill="1" applyBorder="1"/>
    <xf numFmtId="0" fontId="0" fillId="14" borderId="28" xfId="0" applyFill="1" applyBorder="1"/>
    <xf numFmtId="0" fontId="0" fillId="15" borderId="27" xfId="0" applyFill="1" applyBorder="1"/>
    <xf numFmtId="0" fontId="0" fillId="14" borderId="27" xfId="0" applyFill="1" applyBorder="1"/>
    <xf numFmtId="0" fontId="0" fillId="15" borderId="29" xfId="0" applyFill="1" applyBorder="1"/>
    <xf numFmtId="0" fontId="0" fillId="16" borderId="27" xfId="0" applyFill="1" applyBorder="1"/>
    <xf numFmtId="0" fontId="0" fillId="14" borderId="0" xfId="0" applyFill="1"/>
    <xf numFmtId="0" fontId="0" fillId="17" borderId="27" xfId="0" applyFill="1" applyBorder="1"/>
    <xf numFmtId="0" fontId="0" fillId="12" borderId="0" xfId="0" applyFill="1"/>
    <xf numFmtId="0" fontId="0" fillId="3" borderId="0" xfId="0" applyFill="1" applyAlignment="1">
      <alignment wrapText="1"/>
    </xf>
    <xf numFmtId="0" fontId="0" fillId="12" borderId="0" xfId="0" applyFill="1" applyAlignment="1">
      <alignment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0" fillId="3" borderId="44" xfId="0" applyFill="1" applyBorder="1" applyAlignment="1">
      <alignment horizontal="center" vertical="center" wrapText="1"/>
    </xf>
    <xf numFmtId="0" fontId="30" fillId="13" borderId="41" xfId="0" applyFont="1" applyFill="1" applyBorder="1" applyAlignment="1">
      <alignment horizontal="center" vertical="center"/>
    </xf>
    <xf numFmtId="0" fontId="19" fillId="8" borderId="46" xfId="0" applyFont="1" applyFill="1" applyBorder="1" applyAlignment="1">
      <alignment horizontal="center" vertical="center" wrapText="1"/>
    </xf>
    <xf numFmtId="49" fontId="27" fillId="0" borderId="0" xfId="0" quotePrefix="1" applyNumberFormat="1" applyFont="1" applyAlignment="1">
      <alignment horizontal="left" vertical="top" wrapText="1" indent="1"/>
    </xf>
    <xf numFmtId="49" fontId="27" fillId="0" borderId="0" xfId="0" applyNumberFormat="1" applyFont="1" applyAlignment="1">
      <alignment horizontal="left" vertical="top" wrapText="1" indent="1"/>
    </xf>
    <xf numFmtId="0" fontId="0" fillId="3" borderId="17" xfId="0" applyFill="1" applyBorder="1" applyAlignment="1">
      <alignment horizontal="center" vertical="center"/>
    </xf>
    <xf numFmtId="0" fontId="0" fillId="3" borderId="10" xfId="0" applyFill="1" applyBorder="1" applyAlignment="1">
      <alignment horizontal="center" vertical="center"/>
    </xf>
    <xf numFmtId="0" fontId="0" fillId="3" borderId="18" xfId="0" applyFill="1" applyBorder="1" applyAlignment="1">
      <alignment horizontal="center" vertical="center"/>
    </xf>
    <xf numFmtId="49" fontId="24" fillId="18" borderId="19" xfId="0" applyNumberFormat="1" applyFont="1" applyFill="1" applyBorder="1" applyAlignment="1">
      <alignment horizontal="center" vertical="center" wrapText="1"/>
    </xf>
    <xf numFmtId="49" fontId="24" fillId="18" borderId="48" xfId="0" applyNumberFormat="1" applyFont="1" applyFill="1" applyBorder="1" applyAlignment="1">
      <alignment horizontal="center" vertical="center" wrapText="1"/>
    </xf>
    <xf numFmtId="49" fontId="24" fillId="18" borderId="49" xfId="0" applyNumberFormat="1" applyFont="1" applyFill="1" applyBorder="1" applyAlignment="1">
      <alignment horizontal="center" vertical="center" wrapText="1"/>
    </xf>
    <xf numFmtId="0" fontId="1" fillId="11" borderId="0" xfId="0" applyFont="1" applyFill="1" applyAlignment="1">
      <alignment horizontal="center" vertical="center" wrapText="1"/>
    </xf>
    <xf numFmtId="0" fontId="0" fillId="3" borderId="0" xfId="0" applyFill="1" applyAlignment="1">
      <alignment horizontal="left"/>
    </xf>
    <xf numFmtId="0" fontId="17" fillId="3" borderId="0" xfId="0" applyFont="1" applyFill="1" applyAlignment="1">
      <alignment horizontal="left"/>
    </xf>
    <xf numFmtId="0" fontId="26" fillId="2" borderId="0" xfId="0" applyFont="1" applyFill="1" applyAlignment="1">
      <alignment horizontal="left" vertical="center" wrapText="1"/>
    </xf>
    <xf numFmtId="0" fontId="0" fillId="3" borderId="0" xfId="0" applyFill="1" applyAlignment="1">
      <alignment horizontal="center"/>
    </xf>
    <xf numFmtId="0" fontId="17" fillId="3" borderId="0" xfId="0" applyFont="1" applyFill="1" applyAlignment="1">
      <alignment horizontal="center"/>
    </xf>
    <xf numFmtId="0" fontId="26" fillId="2" borderId="0" xfId="0" applyFont="1" applyFill="1" applyAlignment="1">
      <alignment horizontal="center" vertical="center"/>
    </xf>
    <xf numFmtId="49" fontId="24" fillId="18" borderId="47" xfId="0" applyNumberFormat="1" applyFont="1" applyFill="1" applyBorder="1" applyAlignment="1">
      <alignment horizontal="center" vertical="center" wrapText="1"/>
    </xf>
    <xf numFmtId="0" fontId="19" fillId="20" borderId="19" xfId="0" applyFont="1" applyFill="1" applyBorder="1" applyAlignment="1">
      <alignment horizontal="center" vertical="center" wrapText="1"/>
    </xf>
    <xf numFmtId="0" fontId="19" fillId="20" borderId="48" xfId="0" applyFont="1" applyFill="1" applyBorder="1" applyAlignment="1">
      <alignment horizontal="center" vertical="center" wrapText="1"/>
    </xf>
    <xf numFmtId="0" fontId="19" fillId="20" borderId="49" xfId="0" applyFont="1" applyFill="1" applyBorder="1" applyAlignment="1">
      <alignment horizontal="center" vertical="center" wrapText="1"/>
    </xf>
    <xf numFmtId="0" fontId="0" fillId="0" borderId="0" xfId="0" applyAlignment="1">
      <alignment horizontal="center" vertical="center"/>
    </xf>
    <xf numFmtId="0" fontId="17" fillId="0" borderId="0" xfId="0" applyFont="1" applyAlignment="1">
      <alignment horizontal="center" vertical="center"/>
    </xf>
    <xf numFmtId="0" fontId="26" fillId="2" borderId="0" xfId="0" applyFont="1" applyFill="1" applyAlignment="1">
      <alignment horizontal="center" vertical="center" wrapText="1"/>
    </xf>
    <xf numFmtId="0" fontId="15" fillId="0" borderId="0" xfId="0" applyFont="1" applyAlignment="1">
      <alignment horizontal="center"/>
    </xf>
    <xf numFmtId="0" fontId="16" fillId="2" borderId="0" xfId="0" applyFont="1" applyFill="1" applyAlignment="1">
      <alignment horizontal="left" vertical="center" wrapText="1"/>
    </xf>
    <xf numFmtId="0" fontId="0" fillId="3" borderId="18" xfId="0" applyFill="1" applyBorder="1" applyAlignment="1">
      <alignment horizontal="center" vertical="center" wrapText="1"/>
    </xf>
    <xf numFmtId="0" fontId="0" fillId="3" borderId="17" xfId="0" applyFill="1" applyBorder="1" applyAlignment="1">
      <alignment horizontal="center" vertical="center" wrapText="1"/>
    </xf>
    <xf numFmtId="0" fontId="0" fillId="3" borderId="10" xfId="0" applyFill="1" applyBorder="1" applyAlignment="1">
      <alignment horizontal="center" vertical="center" wrapText="1"/>
    </xf>
    <xf numFmtId="0" fontId="22" fillId="9" borderId="0" xfId="0" applyFont="1" applyFill="1" applyAlignment="1">
      <alignment horizontal="center" vertical="center"/>
    </xf>
    <xf numFmtId="0" fontId="18" fillId="2" borderId="0" xfId="0" applyFont="1" applyFill="1" applyAlignment="1">
      <alignment horizontal="center" vertical="center"/>
    </xf>
    <xf numFmtId="0" fontId="23" fillId="10" borderId="0" xfId="0" applyFont="1" applyFill="1" applyAlignment="1">
      <alignment horizontal="center" vertical="center" wrapText="1"/>
    </xf>
    <xf numFmtId="0" fontId="23" fillId="10" borderId="0" xfId="0" applyFont="1" applyFill="1" applyAlignment="1">
      <alignment horizontal="center" vertical="center"/>
    </xf>
  </cellXfs>
  <cellStyles count="4">
    <cellStyle name="Accent1" xfId="1" builtinId="29"/>
    <cellStyle name="Hyperlink" xfId="3" builtinId="8"/>
    <cellStyle name="Normal" xfId="0" builtinId="0"/>
    <cellStyle name="Normalny 4 2" xfId="2" xr:uid="{69D1DBBD-AAD2-4BBB-B122-EE5A227D8CF3}"/>
  </cellStyles>
  <dxfs count="78">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theme="2"/>
        </patternFill>
      </fill>
    </dxf>
    <dxf>
      <fill>
        <patternFill>
          <bgColor rgb="FFED9797"/>
        </patternFill>
      </fill>
    </dxf>
    <dxf>
      <fill>
        <patternFill>
          <bgColor rgb="FFED9797"/>
        </patternFill>
      </fill>
    </dxf>
    <dxf>
      <fill>
        <patternFill>
          <bgColor theme="2"/>
        </patternFill>
      </fill>
    </dxf>
    <dxf>
      <fill>
        <patternFill>
          <bgColor rgb="FFED9797"/>
        </patternFill>
      </fill>
    </dxf>
    <dxf>
      <font>
        <color rgb="FF9C5700"/>
      </font>
      <fill>
        <patternFill>
          <bgColor rgb="FFFFEB9C"/>
        </patternFill>
      </fill>
    </dxf>
    <dxf>
      <font>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color auto="1"/>
      </font>
      <fill>
        <patternFill>
          <bgColor theme="3" tint="0.79998168889431442"/>
        </patternFill>
      </fill>
    </dxf>
    <dxf>
      <font>
        <color rgb="FF9C0006"/>
      </font>
      <fill>
        <patternFill>
          <bgColor rgb="FFFFC7CE"/>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theme="7"/>
        </patternFill>
      </fill>
      <border>
        <left style="thin">
          <color auto="1"/>
        </left>
        <right style="thin">
          <color auto="1"/>
        </right>
        <top style="thin">
          <color auto="1"/>
        </top>
        <bottom style="thin">
          <color auto="1"/>
        </bottom>
      </border>
    </dxf>
    <dxf>
      <font>
        <color theme="0"/>
      </font>
      <fill>
        <patternFill>
          <bgColor rgb="FF00B050"/>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3300"/>
      <color rgb="FFED9797"/>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1154905</xdr:colOff>
      <xdr:row>0</xdr:row>
      <xdr:rowOff>0</xdr:rowOff>
    </xdr:from>
    <xdr:to>
      <xdr:col>7</xdr:col>
      <xdr:colOff>619124</xdr:colOff>
      <xdr:row>4</xdr:row>
      <xdr:rowOff>334485</xdr:rowOff>
    </xdr:to>
    <xdr:pic>
      <xdr:nvPicPr>
        <xdr:cNvPr id="4" name="Picture 3">
          <a:extLst>
            <a:ext uri="{FF2B5EF4-FFF2-40B4-BE49-F238E27FC236}">
              <a16:creationId xmlns:a16="http://schemas.microsoft.com/office/drawing/2014/main" id="{932AD032-12DD-0CCA-FE94-3F25C51FB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2249" y="0"/>
          <a:ext cx="3155156" cy="2608579"/>
        </a:xfrm>
        <a:prstGeom prst="rect">
          <a:avLst/>
        </a:prstGeom>
      </xdr:spPr>
    </xdr:pic>
    <xdr:clientData/>
  </xdr:twoCellAnchor>
  <xdr:twoCellAnchor editAs="oneCell">
    <xdr:from>
      <xdr:col>0</xdr:col>
      <xdr:colOff>0</xdr:colOff>
      <xdr:row>0</xdr:row>
      <xdr:rowOff>0</xdr:rowOff>
    </xdr:from>
    <xdr:to>
      <xdr:col>0</xdr:col>
      <xdr:colOff>1744084</xdr:colOff>
      <xdr:row>1</xdr:row>
      <xdr:rowOff>468518</xdr:rowOff>
    </xdr:to>
    <xdr:pic>
      <xdr:nvPicPr>
        <xdr:cNvPr id="2" name="Picture 1">
          <a:extLst>
            <a:ext uri="{FF2B5EF4-FFF2-40B4-BE49-F238E27FC236}">
              <a16:creationId xmlns:a16="http://schemas.microsoft.com/office/drawing/2014/main" id="{71D13D3E-F58A-46BF-8F03-C52571D740DC}"/>
            </a:ext>
          </a:extLst>
        </xdr:cNvPr>
        <xdr:cNvPicPr>
          <a:picLocks/>
        </xdr:cNvPicPr>
      </xdr:nvPicPr>
      <xdr:blipFill>
        <a:blip xmlns:r="http://schemas.openxmlformats.org/officeDocument/2006/relationships" r:embed="rId2"/>
        <a:stretch>
          <a:fillRect/>
        </a:stretch>
      </xdr:blipFill>
      <xdr:spPr>
        <a:xfrm>
          <a:off x="0" y="0"/>
          <a:ext cx="1778000" cy="508000"/>
        </a:xfrm>
        <a:prstGeom prst="rect">
          <a:avLst/>
        </a:prstGeom>
      </xdr:spPr>
    </xdr:pic>
    <xdr:clientData/>
  </xdr:twoCellAnchor>
  <xdr:twoCellAnchor editAs="oneCell">
    <xdr:from>
      <xdr:col>0</xdr:col>
      <xdr:colOff>0</xdr:colOff>
      <xdr:row>0</xdr:row>
      <xdr:rowOff>0</xdr:rowOff>
    </xdr:from>
    <xdr:to>
      <xdr:col>0</xdr:col>
      <xdr:colOff>1745445</xdr:colOff>
      <xdr:row>1</xdr:row>
      <xdr:rowOff>467158</xdr:rowOff>
    </xdr:to>
    <xdr:pic>
      <xdr:nvPicPr>
        <xdr:cNvPr id="3" name="Picture 2">
          <a:extLst>
            <a:ext uri="{FF2B5EF4-FFF2-40B4-BE49-F238E27FC236}">
              <a16:creationId xmlns:a16="http://schemas.microsoft.com/office/drawing/2014/main" id="{7EAA9BAC-7AA1-41E4-BFF8-56402F7CADDF}"/>
            </a:ext>
          </a:extLst>
        </xdr:cNvPr>
        <xdr:cNvPicPr>
          <a:picLocks/>
        </xdr:cNvPicPr>
      </xdr:nvPicPr>
      <xdr:blipFill>
        <a:blip xmlns:r="http://schemas.openxmlformats.org/officeDocument/2006/relationships" r:embed="rId2"/>
        <a:stretch>
          <a:fillRect/>
        </a:stretch>
      </xdr:blipFill>
      <xdr:spPr>
        <a:xfrm>
          <a:off x="0" y="0"/>
          <a:ext cx="1745445" cy="501897"/>
        </a:xfrm>
        <a:prstGeom prst="rect">
          <a:avLst/>
        </a:prstGeom>
      </xdr:spPr>
    </xdr:pic>
    <xdr:clientData/>
  </xdr:twoCellAnchor>
  <xdr:oneCellAnchor>
    <xdr:from>
      <xdr:col>0</xdr:col>
      <xdr:colOff>0</xdr:colOff>
      <xdr:row>0</xdr:row>
      <xdr:rowOff>0</xdr:rowOff>
    </xdr:from>
    <xdr:ext cx="1744084" cy="502136"/>
    <xdr:pic>
      <xdr:nvPicPr>
        <xdr:cNvPr id="5" name="Picture 4">
          <a:extLst>
            <a:ext uri="{FF2B5EF4-FFF2-40B4-BE49-F238E27FC236}">
              <a16:creationId xmlns:a16="http://schemas.microsoft.com/office/drawing/2014/main" id="{B5C36584-9750-4FAC-9635-F9F5E4142B4E}"/>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6" name="Picture 5">
          <a:extLst>
            <a:ext uri="{FF2B5EF4-FFF2-40B4-BE49-F238E27FC236}">
              <a16:creationId xmlns:a16="http://schemas.microsoft.com/office/drawing/2014/main" id="{C8A38EF2-9732-46E4-9129-8AE2979DB4A0}"/>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7" name="Picture 6">
          <a:extLst>
            <a:ext uri="{FF2B5EF4-FFF2-40B4-BE49-F238E27FC236}">
              <a16:creationId xmlns:a16="http://schemas.microsoft.com/office/drawing/2014/main" id="{5CEAFDE0-FC90-44B5-B380-230BE76E4251}"/>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5072"/>
    <xdr:pic>
      <xdr:nvPicPr>
        <xdr:cNvPr id="8" name="Picture 7">
          <a:extLst>
            <a:ext uri="{FF2B5EF4-FFF2-40B4-BE49-F238E27FC236}">
              <a16:creationId xmlns:a16="http://schemas.microsoft.com/office/drawing/2014/main" id="{7BF9172C-6F7C-4A1F-8246-C0DF82FE716B}"/>
            </a:ext>
          </a:extLst>
        </xdr:cNvPr>
        <xdr:cNvPicPr>
          <a:picLocks/>
        </xdr:cNvPicPr>
      </xdr:nvPicPr>
      <xdr:blipFill>
        <a:blip xmlns:r="http://schemas.openxmlformats.org/officeDocument/2006/relationships" r:embed="rId2"/>
        <a:stretch>
          <a:fillRect/>
        </a:stretch>
      </xdr:blipFill>
      <xdr:spPr>
        <a:xfrm>
          <a:off x="0" y="0"/>
          <a:ext cx="1744084" cy="505072"/>
        </a:xfrm>
        <a:prstGeom prst="rect">
          <a:avLst/>
        </a:prstGeom>
      </xdr:spPr>
    </xdr:pic>
    <xdr:clientData/>
  </xdr:oneCellAnchor>
  <xdr:oneCellAnchor>
    <xdr:from>
      <xdr:col>0</xdr:col>
      <xdr:colOff>0</xdr:colOff>
      <xdr:row>0</xdr:row>
      <xdr:rowOff>0</xdr:rowOff>
    </xdr:from>
    <xdr:ext cx="1744084" cy="502136"/>
    <xdr:pic>
      <xdr:nvPicPr>
        <xdr:cNvPr id="9" name="Picture 8">
          <a:extLst>
            <a:ext uri="{FF2B5EF4-FFF2-40B4-BE49-F238E27FC236}">
              <a16:creationId xmlns:a16="http://schemas.microsoft.com/office/drawing/2014/main" id="{8B024BB0-E4DA-4616-9FE2-D1F93F4D8C45}"/>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10" name="Picture 9">
          <a:extLst>
            <a:ext uri="{FF2B5EF4-FFF2-40B4-BE49-F238E27FC236}">
              <a16:creationId xmlns:a16="http://schemas.microsoft.com/office/drawing/2014/main" id="{1CDA9125-5C9F-4BDA-A086-6BDB60236FCA}"/>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11" name="Picture 10">
          <a:extLst>
            <a:ext uri="{FF2B5EF4-FFF2-40B4-BE49-F238E27FC236}">
              <a16:creationId xmlns:a16="http://schemas.microsoft.com/office/drawing/2014/main" id="{3E41E864-4A6E-4ABA-81E7-A56D5BC20CEF}"/>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12" name="Picture 11">
          <a:extLst>
            <a:ext uri="{FF2B5EF4-FFF2-40B4-BE49-F238E27FC236}">
              <a16:creationId xmlns:a16="http://schemas.microsoft.com/office/drawing/2014/main" id="{227DD518-77B7-4D42-9941-B9738FBA6E86}"/>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13" name="Picture 12">
          <a:extLst>
            <a:ext uri="{FF2B5EF4-FFF2-40B4-BE49-F238E27FC236}">
              <a16:creationId xmlns:a16="http://schemas.microsoft.com/office/drawing/2014/main" id="{F2E8A51F-A764-418D-A007-E48B9EE23CA9}"/>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14" name="Picture 13">
          <a:extLst>
            <a:ext uri="{FF2B5EF4-FFF2-40B4-BE49-F238E27FC236}">
              <a16:creationId xmlns:a16="http://schemas.microsoft.com/office/drawing/2014/main" id="{F936F1A6-D4F6-46A9-97AD-77DC2FE4941A}"/>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15" name="Picture 14">
          <a:extLst>
            <a:ext uri="{FF2B5EF4-FFF2-40B4-BE49-F238E27FC236}">
              <a16:creationId xmlns:a16="http://schemas.microsoft.com/office/drawing/2014/main" id="{C1D92F4B-EC1C-48AD-A861-8C755F4EF535}"/>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5072"/>
    <xdr:pic>
      <xdr:nvPicPr>
        <xdr:cNvPr id="16" name="Picture 15">
          <a:extLst>
            <a:ext uri="{FF2B5EF4-FFF2-40B4-BE49-F238E27FC236}">
              <a16:creationId xmlns:a16="http://schemas.microsoft.com/office/drawing/2014/main" id="{F315085E-3D1D-46D6-AAD9-A460398D7417}"/>
            </a:ext>
          </a:extLst>
        </xdr:cNvPr>
        <xdr:cNvPicPr>
          <a:picLocks/>
        </xdr:cNvPicPr>
      </xdr:nvPicPr>
      <xdr:blipFill>
        <a:blip xmlns:r="http://schemas.openxmlformats.org/officeDocument/2006/relationships" r:embed="rId2"/>
        <a:stretch>
          <a:fillRect/>
        </a:stretch>
      </xdr:blipFill>
      <xdr:spPr>
        <a:xfrm>
          <a:off x="0" y="0"/>
          <a:ext cx="1744084" cy="505072"/>
        </a:xfrm>
        <a:prstGeom prst="rect">
          <a:avLst/>
        </a:prstGeom>
      </xdr:spPr>
    </xdr:pic>
    <xdr:clientData/>
  </xdr:oneCellAnchor>
  <xdr:oneCellAnchor>
    <xdr:from>
      <xdr:col>0</xdr:col>
      <xdr:colOff>0</xdr:colOff>
      <xdr:row>0</xdr:row>
      <xdr:rowOff>0</xdr:rowOff>
    </xdr:from>
    <xdr:ext cx="1744084" cy="502136"/>
    <xdr:pic>
      <xdr:nvPicPr>
        <xdr:cNvPr id="17" name="Picture 16">
          <a:extLst>
            <a:ext uri="{FF2B5EF4-FFF2-40B4-BE49-F238E27FC236}">
              <a16:creationId xmlns:a16="http://schemas.microsoft.com/office/drawing/2014/main" id="{DA0A2700-3CE8-43AC-99FF-787F9342D1DA}"/>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18" name="Picture 17">
          <a:extLst>
            <a:ext uri="{FF2B5EF4-FFF2-40B4-BE49-F238E27FC236}">
              <a16:creationId xmlns:a16="http://schemas.microsoft.com/office/drawing/2014/main" id="{AF93959D-E694-4AE0-81B9-8A18FF1883EE}"/>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19" name="Picture 18">
          <a:extLst>
            <a:ext uri="{FF2B5EF4-FFF2-40B4-BE49-F238E27FC236}">
              <a16:creationId xmlns:a16="http://schemas.microsoft.com/office/drawing/2014/main" id="{E68162CB-C79F-4CF9-9A39-E54DED65A253}"/>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twoCellAnchor editAs="oneCell">
    <xdr:from>
      <xdr:col>0</xdr:col>
      <xdr:colOff>0</xdr:colOff>
      <xdr:row>0</xdr:row>
      <xdr:rowOff>0</xdr:rowOff>
    </xdr:from>
    <xdr:to>
      <xdr:col>0</xdr:col>
      <xdr:colOff>1745445</xdr:colOff>
      <xdr:row>1</xdr:row>
      <xdr:rowOff>467158</xdr:rowOff>
    </xdr:to>
    <xdr:pic>
      <xdr:nvPicPr>
        <xdr:cNvPr id="20" name="Picture 19">
          <a:extLst>
            <a:ext uri="{FF2B5EF4-FFF2-40B4-BE49-F238E27FC236}">
              <a16:creationId xmlns:a16="http://schemas.microsoft.com/office/drawing/2014/main" id="{ECF70CB1-BCE8-4733-B742-7CC1FF02130F}"/>
            </a:ext>
          </a:extLst>
        </xdr:cNvPr>
        <xdr:cNvPicPr>
          <a:picLocks/>
        </xdr:cNvPicPr>
      </xdr:nvPicPr>
      <xdr:blipFill>
        <a:blip xmlns:r="http://schemas.openxmlformats.org/officeDocument/2006/relationships" r:embed="rId2"/>
        <a:stretch>
          <a:fillRect/>
        </a:stretch>
      </xdr:blipFill>
      <xdr:spPr>
        <a:xfrm>
          <a:off x="0" y="0"/>
          <a:ext cx="1745445" cy="501897"/>
        </a:xfrm>
        <a:prstGeom prst="rect">
          <a:avLst/>
        </a:prstGeom>
      </xdr:spPr>
    </xdr:pic>
    <xdr:clientData/>
  </xdr:twoCellAnchor>
  <xdr:oneCellAnchor>
    <xdr:from>
      <xdr:col>0</xdr:col>
      <xdr:colOff>0</xdr:colOff>
      <xdr:row>0</xdr:row>
      <xdr:rowOff>0</xdr:rowOff>
    </xdr:from>
    <xdr:ext cx="1744084" cy="502136"/>
    <xdr:pic>
      <xdr:nvPicPr>
        <xdr:cNvPr id="21" name="Picture 20">
          <a:extLst>
            <a:ext uri="{FF2B5EF4-FFF2-40B4-BE49-F238E27FC236}">
              <a16:creationId xmlns:a16="http://schemas.microsoft.com/office/drawing/2014/main" id="{1FC269B2-4EF5-44E0-920B-3057BFC85714}"/>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22" name="Picture 21">
          <a:extLst>
            <a:ext uri="{FF2B5EF4-FFF2-40B4-BE49-F238E27FC236}">
              <a16:creationId xmlns:a16="http://schemas.microsoft.com/office/drawing/2014/main" id="{1CA2506C-EF76-4A13-AE8B-7874F75EDE6D}"/>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23" name="Picture 22">
          <a:extLst>
            <a:ext uri="{FF2B5EF4-FFF2-40B4-BE49-F238E27FC236}">
              <a16:creationId xmlns:a16="http://schemas.microsoft.com/office/drawing/2014/main" id="{7DC5B335-D01C-4C01-99E5-03619C2D1451}"/>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5072"/>
    <xdr:pic>
      <xdr:nvPicPr>
        <xdr:cNvPr id="24" name="Picture 23">
          <a:extLst>
            <a:ext uri="{FF2B5EF4-FFF2-40B4-BE49-F238E27FC236}">
              <a16:creationId xmlns:a16="http://schemas.microsoft.com/office/drawing/2014/main" id="{A00AE051-E59E-43CE-B28F-32A403D95B22}"/>
            </a:ext>
          </a:extLst>
        </xdr:cNvPr>
        <xdr:cNvPicPr>
          <a:picLocks/>
        </xdr:cNvPicPr>
      </xdr:nvPicPr>
      <xdr:blipFill>
        <a:blip xmlns:r="http://schemas.openxmlformats.org/officeDocument/2006/relationships" r:embed="rId2"/>
        <a:stretch>
          <a:fillRect/>
        </a:stretch>
      </xdr:blipFill>
      <xdr:spPr>
        <a:xfrm>
          <a:off x="0" y="0"/>
          <a:ext cx="1744084" cy="505072"/>
        </a:xfrm>
        <a:prstGeom prst="rect">
          <a:avLst/>
        </a:prstGeom>
      </xdr:spPr>
    </xdr:pic>
    <xdr:clientData/>
  </xdr:oneCellAnchor>
  <xdr:oneCellAnchor>
    <xdr:from>
      <xdr:col>0</xdr:col>
      <xdr:colOff>0</xdr:colOff>
      <xdr:row>0</xdr:row>
      <xdr:rowOff>0</xdr:rowOff>
    </xdr:from>
    <xdr:ext cx="1744084" cy="502136"/>
    <xdr:pic>
      <xdr:nvPicPr>
        <xdr:cNvPr id="25" name="Picture 24">
          <a:extLst>
            <a:ext uri="{FF2B5EF4-FFF2-40B4-BE49-F238E27FC236}">
              <a16:creationId xmlns:a16="http://schemas.microsoft.com/office/drawing/2014/main" id="{49EEE612-E9C3-44AD-83A0-236EAA8F8F5A}"/>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26" name="Picture 25">
          <a:extLst>
            <a:ext uri="{FF2B5EF4-FFF2-40B4-BE49-F238E27FC236}">
              <a16:creationId xmlns:a16="http://schemas.microsoft.com/office/drawing/2014/main" id="{C8CA1D77-F7D7-44D0-94AF-CF083597A73C}"/>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27" name="Picture 26">
          <a:extLst>
            <a:ext uri="{FF2B5EF4-FFF2-40B4-BE49-F238E27FC236}">
              <a16:creationId xmlns:a16="http://schemas.microsoft.com/office/drawing/2014/main" id="{538F8FDE-5EF3-44F2-867A-EC44CD0F0F47}"/>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28" name="Picture 27">
          <a:extLst>
            <a:ext uri="{FF2B5EF4-FFF2-40B4-BE49-F238E27FC236}">
              <a16:creationId xmlns:a16="http://schemas.microsoft.com/office/drawing/2014/main" id="{B152BD4C-AD25-49F2-8792-1069E75947D4}"/>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29" name="Picture 28">
          <a:extLst>
            <a:ext uri="{FF2B5EF4-FFF2-40B4-BE49-F238E27FC236}">
              <a16:creationId xmlns:a16="http://schemas.microsoft.com/office/drawing/2014/main" id="{42E6A86A-3487-40E2-9446-D6D54C06C5B1}"/>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30" name="Picture 29">
          <a:extLst>
            <a:ext uri="{FF2B5EF4-FFF2-40B4-BE49-F238E27FC236}">
              <a16:creationId xmlns:a16="http://schemas.microsoft.com/office/drawing/2014/main" id="{8E80E6CF-EC2E-459D-BAE1-8DDDAD31C09D}"/>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744084" cy="502136"/>
    <xdr:pic>
      <xdr:nvPicPr>
        <xdr:cNvPr id="31" name="Picture 30">
          <a:extLst>
            <a:ext uri="{FF2B5EF4-FFF2-40B4-BE49-F238E27FC236}">
              <a16:creationId xmlns:a16="http://schemas.microsoft.com/office/drawing/2014/main" id="{F6A8F829-9A6E-43C8-9D7C-F6475EB52E0C}"/>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5072"/>
    <xdr:pic>
      <xdr:nvPicPr>
        <xdr:cNvPr id="32" name="Picture 31">
          <a:extLst>
            <a:ext uri="{FF2B5EF4-FFF2-40B4-BE49-F238E27FC236}">
              <a16:creationId xmlns:a16="http://schemas.microsoft.com/office/drawing/2014/main" id="{E9EEDBAE-F43D-4A9F-8E09-10D241E14791}"/>
            </a:ext>
          </a:extLst>
        </xdr:cNvPr>
        <xdr:cNvPicPr>
          <a:picLocks/>
        </xdr:cNvPicPr>
      </xdr:nvPicPr>
      <xdr:blipFill>
        <a:blip xmlns:r="http://schemas.openxmlformats.org/officeDocument/2006/relationships" r:embed="rId2"/>
        <a:stretch>
          <a:fillRect/>
        </a:stretch>
      </xdr:blipFill>
      <xdr:spPr>
        <a:xfrm>
          <a:off x="0" y="0"/>
          <a:ext cx="1744084" cy="505072"/>
        </a:xfrm>
        <a:prstGeom prst="rect">
          <a:avLst/>
        </a:prstGeom>
      </xdr:spPr>
    </xdr:pic>
    <xdr:clientData/>
  </xdr:oneCellAnchor>
  <xdr:oneCellAnchor>
    <xdr:from>
      <xdr:col>0</xdr:col>
      <xdr:colOff>0</xdr:colOff>
      <xdr:row>0</xdr:row>
      <xdr:rowOff>0</xdr:rowOff>
    </xdr:from>
    <xdr:ext cx="1744084" cy="502136"/>
    <xdr:pic>
      <xdr:nvPicPr>
        <xdr:cNvPr id="33" name="Picture 32">
          <a:extLst>
            <a:ext uri="{FF2B5EF4-FFF2-40B4-BE49-F238E27FC236}">
              <a16:creationId xmlns:a16="http://schemas.microsoft.com/office/drawing/2014/main" id="{93DAC456-19A1-4D69-A906-3705925C4F7C}"/>
            </a:ext>
          </a:extLst>
        </xdr:cNvPr>
        <xdr:cNvPicPr>
          <a:picLocks/>
        </xdr:cNvPicPr>
      </xdr:nvPicPr>
      <xdr:blipFill>
        <a:blip xmlns:r="http://schemas.openxmlformats.org/officeDocument/2006/relationships" r:embed="rId2"/>
        <a:stretch>
          <a:fillRect/>
        </a:stretch>
      </xdr:blipFill>
      <xdr:spPr>
        <a:xfrm>
          <a:off x="0" y="0"/>
          <a:ext cx="1744084" cy="502136"/>
        </a:xfrm>
        <a:prstGeom prst="rect">
          <a:avLst/>
        </a:prstGeom>
      </xdr:spPr>
    </xdr:pic>
    <xdr:clientData/>
  </xdr:oneCellAnchor>
  <xdr:oneCellAnchor>
    <xdr:from>
      <xdr:col>0</xdr:col>
      <xdr:colOff>0</xdr:colOff>
      <xdr:row>0</xdr:row>
      <xdr:rowOff>0</xdr:rowOff>
    </xdr:from>
    <xdr:ext cx="1744084" cy="500536"/>
    <xdr:pic>
      <xdr:nvPicPr>
        <xdr:cNvPr id="34" name="Picture 33">
          <a:extLst>
            <a:ext uri="{FF2B5EF4-FFF2-40B4-BE49-F238E27FC236}">
              <a16:creationId xmlns:a16="http://schemas.microsoft.com/office/drawing/2014/main" id="{959FA35B-621E-4385-AF7C-33332D78398E}"/>
            </a:ext>
          </a:extLst>
        </xdr:cNvPr>
        <xdr:cNvPicPr>
          <a:picLocks/>
        </xdr:cNvPicPr>
      </xdr:nvPicPr>
      <xdr:blipFill>
        <a:blip xmlns:r="http://schemas.openxmlformats.org/officeDocument/2006/relationships" r:embed="rId2"/>
        <a:stretch>
          <a:fillRect/>
        </a:stretch>
      </xdr:blipFill>
      <xdr:spPr>
        <a:xfrm>
          <a:off x="0" y="0"/>
          <a:ext cx="1744084" cy="500536"/>
        </a:xfrm>
        <a:prstGeom prst="rect">
          <a:avLst/>
        </a:prstGeom>
      </xdr:spPr>
    </xdr:pic>
    <xdr:clientData/>
  </xdr:oneCellAnchor>
  <xdr:oneCellAnchor>
    <xdr:from>
      <xdr:col>0</xdr:col>
      <xdr:colOff>0</xdr:colOff>
      <xdr:row>0</xdr:row>
      <xdr:rowOff>0</xdr:rowOff>
    </xdr:from>
    <xdr:ext cx="1928812" cy="607218"/>
    <xdr:pic>
      <xdr:nvPicPr>
        <xdr:cNvPr id="35" name="Picture 34">
          <a:extLst>
            <a:ext uri="{FF2B5EF4-FFF2-40B4-BE49-F238E27FC236}">
              <a16:creationId xmlns:a16="http://schemas.microsoft.com/office/drawing/2014/main" id="{37A495E3-7E20-4AB2-993F-4BC8A5167013}"/>
            </a:ext>
          </a:extLst>
        </xdr:cNvPr>
        <xdr:cNvPicPr>
          <a:picLocks/>
        </xdr:cNvPicPr>
      </xdr:nvPicPr>
      <xdr:blipFill>
        <a:blip xmlns:r="http://schemas.openxmlformats.org/officeDocument/2006/relationships" r:embed="rId2"/>
        <a:stretch>
          <a:fillRect/>
        </a:stretch>
      </xdr:blipFill>
      <xdr:spPr>
        <a:xfrm>
          <a:off x="0" y="0"/>
          <a:ext cx="1928812" cy="60721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482758</xdr:rowOff>
    </xdr:to>
    <xdr:pic>
      <xdr:nvPicPr>
        <xdr:cNvPr id="3" name="Picture 1">
          <a:extLst>
            <a:ext uri="{FF2B5EF4-FFF2-40B4-BE49-F238E27FC236}">
              <a16:creationId xmlns:a16="http://schemas.microsoft.com/office/drawing/2014/main" id="{F3F51A6D-D358-4F3D-9E12-51ADAAF34554}"/>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B809C9F8-8098-4982-8F12-48C96413B346}"/>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3" name="Picture 1">
          <a:extLst>
            <a:ext uri="{FF2B5EF4-FFF2-40B4-BE49-F238E27FC236}">
              <a16:creationId xmlns:a16="http://schemas.microsoft.com/office/drawing/2014/main" id="{197F4092-B2AA-4C1A-9DFC-ADEB1E804C60}"/>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039C4741-3F97-4919-AA60-929244B2C061}"/>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C90FA29E-D08F-4027-91E8-18F3666B38E7}"/>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BAC28EBA-7675-4799-84C9-D2037E63AEA4}"/>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4" name="Picture 1">
          <a:extLst>
            <a:ext uri="{FF2B5EF4-FFF2-40B4-BE49-F238E27FC236}">
              <a16:creationId xmlns:a16="http://schemas.microsoft.com/office/drawing/2014/main" id="{9393BB7F-5407-4AE8-9E4B-27AD97BEE2B9}"/>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9F2CB188-C32D-451E-95FB-0BCD4835AF58}"/>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83EB0F15-A6B9-48CF-B91B-A270560428BE}"/>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478790</xdr:rowOff>
    </xdr:to>
    <xdr:pic>
      <xdr:nvPicPr>
        <xdr:cNvPr id="2" name="Picture 1">
          <a:extLst>
            <a:ext uri="{FF2B5EF4-FFF2-40B4-BE49-F238E27FC236}">
              <a16:creationId xmlns:a16="http://schemas.microsoft.com/office/drawing/2014/main" id="{E6B9AEA6-0DEF-4B78-A080-33241FE56BCE}"/>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73660</xdr:colOff>
      <xdr:row>1</xdr:row>
      <xdr:rowOff>468207</xdr:rowOff>
    </xdr:to>
    <xdr:pic>
      <xdr:nvPicPr>
        <xdr:cNvPr id="2" name="Picture 1">
          <a:extLst>
            <a:ext uri="{FF2B5EF4-FFF2-40B4-BE49-F238E27FC236}">
              <a16:creationId xmlns:a16="http://schemas.microsoft.com/office/drawing/2014/main" id="{83FAD450-5AC1-4C6C-BE8C-2184F2F51FE2}"/>
            </a:ext>
          </a:extLst>
        </xdr:cNvPr>
        <xdr:cNvPicPr>
          <a:picLocks/>
        </xdr:cNvPicPr>
      </xdr:nvPicPr>
      <xdr:blipFill>
        <a:blip xmlns:r="http://schemas.openxmlformats.org/officeDocument/2006/relationships" r:embed="rId1"/>
        <a:stretch>
          <a:fillRect/>
        </a:stretch>
      </xdr:blipFill>
      <xdr:spPr>
        <a:xfrm>
          <a:off x="0" y="0"/>
          <a:ext cx="1750060" cy="5041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482758</xdr:rowOff>
    </xdr:to>
    <xdr:pic>
      <xdr:nvPicPr>
        <xdr:cNvPr id="2" name="Picture 1">
          <a:extLst>
            <a:ext uri="{FF2B5EF4-FFF2-40B4-BE49-F238E27FC236}">
              <a16:creationId xmlns:a16="http://schemas.microsoft.com/office/drawing/2014/main" id="{AB46EA6A-3938-4876-BF5C-144BDB75D424}"/>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8694DCC8-E210-4B3B-AFB6-DA6A08DFE734}"/>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9447C060-D850-43A8-A377-70E0514593F2}"/>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B18CF05D-B2A2-4949-9113-1DDBD0535CD7}"/>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478790</xdr:rowOff>
    </xdr:to>
    <xdr:pic>
      <xdr:nvPicPr>
        <xdr:cNvPr id="2" name="Picture 1">
          <a:extLst>
            <a:ext uri="{FF2B5EF4-FFF2-40B4-BE49-F238E27FC236}">
              <a16:creationId xmlns:a16="http://schemas.microsoft.com/office/drawing/2014/main" id="{F5F700FC-EA6F-4197-800B-3AFF173B2195}"/>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469328</xdr:rowOff>
    </xdr:to>
    <xdr:pic>
      <xdr:nvPicPr>
        <xdr:cNvPr id="2" name="Picture 1">
          <a:extLst>
            <a:ext uri="{FF2B5EF4-FFF2-40B4-BE49-F238E27FC236}">
              <a16:creationId xmlns:a16="http://schemas.microsoft.com/office/drawing/2014/main" id="{12DE0275-97A0-41B7-94F8-660EA169F2BC}"/>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8C74AF8C-1701-4DE3-B8CF-C0548F002762}"/>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478790</xdr:rowOff>
    </xdr:to>
    <xdr:pic>
      <xdr:nvPicPr>
        <xdr:cNvPr id="2" name="Picture 1">
          <a:extLst>
            <a:ext uri="{FF2B5EF4-FFF2-40B4-BE49-F238E27FC236}">
              <a16:creationId xmlns:a16="http://schemas.microsoft.com/office/drawing/2014/main" id="{946B82E7-F05F-4FDB-A2B1-48BD5CE124FC}"/>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C0D15335-EC4E-4606-9732-86403446755C}"/>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469328</xdr:rowOff>
    </xdr:to>
    <xdr:pic>
      <xdr:nvPicPr>
        <xdr:cNvPr id="2" name="Picture 1">
          <a:extLst>
            <a:ext uri="{FF2B5EF4-FFF2-40B4-BE49-F238E27FC236}">
              <a16:creationId xmlns:a16="http://schemas.microsoft.com/office/drawing/2014/main" id="{2C481F54-C4AF-4C2D-8DC3-7E1039E2641A}"/>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1754542</xdr:colOff>
      <xdr:row>1</xdr:row>
      <xdr:rowOff>478790</xdr:rowOff>
    </xdr:to>
    <xdr:pic>
      <xdr:nvPicPr>
        <xdr:cNvPr id="2" name="Picture 1">
          <a:extLst>
            <a:ext uri="{FF2B5EF4-FFF2-40B4-BE49-F238E27FC236}">
              <a16:creationId xmlns:a16="http://schemas.microsoft.com/office/drawing/2014/main" id="{44F9F66F-10B2-43AF-8427-891ECA74EF2F}"/>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479697</xdr:rowOff>
    </xdr:to>
    <xdr:pic>
      <xdr:nvPicPr>
        <xdr:cNvPr id="2" name="Picture 1">
          <a:extLst>
            <a:ext uri="{FF2B5EF4-FFF2-40B4-BE49-F238E27FC236}">
              <a16:creationId xmlns:a16="http://schemas.microsoft.com/office/drawing/2014/main" id="{F3887826-EB23-4D34-AF4F-D87FE2D9FE56}"/>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469328</xdr:rowOff>
    </xdr:to>
    <xdr:pic>
      <xdr:nvPicPr>
        <xdr:cNvPr id="2" name="Picture 1">
          <a:extLst>
            <a:ext uri="{FF2B5EF4-FFF2-40B4-BE49-F238E27FC236}">
              <a16:creationId xmlns:a16="http://schemas.microsoft.com/office/drawing/2014/main" id="{17F41FCF-7928-416E-AFB3-57933AAD0C9C}"/>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469328</xdr:rowOff>
    </xdr:to>
    <xdr:pic>
      <xdr:nvPicPr>
        <xdr:cNvPr id="2" name="Picture 1">
          <a:extLst>
            <a:ext uri="{FF2B5EF4-FFF2-40B4-BE49-F238E27FC236}">
              <a16:creationId xmlns:a16="http://schemas.microsoft.com/office/drawing/2014/main" id="{67F6917A-0BD6-4B60-A97E-013BF593A31A}"/>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3</xdr:col>
      <xdr:colOff>996950</xdr:colOff>
      <xdr:row>0</xdr:row>
      <xdr:rowOff>1028950</xdr:rowOff>
    </xdr:to>
    <xdr:pic>
      <xdr:nvPicPr>
        <xdr:cNvPr id="5" name="Picture 2">
          <a:extLst>
            <a:ext uri="{FF2B5EF4-FFF2-40B4-BE49-F238E27FC236}">
              <a16:creationId xmlns:a16="http://schemas.microsoft.com/office/drawing/2014/main" id="{6F0024AB-9339-4CAE-A9FA-13FCD08C671A}"/>
            </a:ext>
          </a:extLst>
        </xdr:cNvPr>
        <xdr:cNvPicPr>
          <a:picLocks/>
        </xdr:cNvPicPr>
      </xdr:nvPicPr>
      <xdr:blipFill>
        <a:blip xmlns:r="http://schemas.openxmlformats.org/officeDocument/2006/relationships" r:embed="rId1"/>
        <a:stretch>
          <a:fillRect/>
        </a:stretch>
      </xdr:blipFill>
      <xdr:spPr>
        <a:xfrm>
          <a:off x="0" y="19050"/>
          <a:ext cx="3429000" cy="1006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76D609E3-DDE8-4C37-ABAD-D9D434CAC1D0}"/>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AA82BD69-560F-4BD8-8241-D51418335158}"/>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4F08CC5C-0A1F-41E4-95FB-3458ECE4790C}"/>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474255</xdr:rowOff>
    </xdr:to>
    <xdr:pic>
      <xdr:nvPicPr>
        <xdr:cNvPr id="2" name="Picture 1">
          <a:extLst>
            <a:ext uri="{FF2B5EF4-FFF2-40B4-BE49-F238E27FC236}">
              <a16:creationId xmlns:a16="http://schemas.microsoft.com/office/drawing/2014/main" id="{7B129E43-0453-4D40-B341-F5595E342715}"/>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29135</xdr:colOff>
      <xdr:row>0</xdr:row>
      <xdr:rowOff>8964</xdr:rowOff>
    </xdr:from>
    <xdr:to>
      <xdr:col>0</xdr:col>
      <xdr:colOff>1648011</xdr:colOff>
      <xdr:row>1</xdr:row>
      <xdr:rowOff>480608</xdr:rowOff>
    </xdr:to>
    <xdr:pic>
      <xdr:nvPicPr>
        <xdr:cNvPr id="2" name="Picture 1">
          <a:extLst>
            <a:ext uri="{FF2B5EF4-FFF2-40B4-BE49-F238E27FC236}">
              <a16:creationId xmlns:a16="http://schemas.microsoft.com/office/drawing/2014/main" id="{0F03B554-DBFF-4CD4-BE28-EFB674468604}"/>
            </a:ext>
          </a:extLst>
        </xdr:cNvPr>
        <xdr:cNvPicPr>
          <a:picLocks/>
        </xdr:cNvPicPr>
      </xdr:nvPicPr>
      <xdr:blipFill>
        <a:blip xmlns:r="http://schemas.openxmlformats.org/officeDocument/2006/relationships" r:embed="rId1"/>
        <a:stretch>
          <a:fillRect/>
        </a:stretch>
      </xdr:blipFill>
      <xdr:spPr>
        <a:xfrm>
          <a:off x="29135" y="8964"/>
          <a:ext cx="1638300" cy="5109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1750060</xdr:colOff>
      <xdr:row>1</xdr:row>
      <xdr:rowOff>468207</xdr:rowOff>
    </xdr:to>
    <xdr:pic>
      <xdr:nvPicPr>
        <xdr:cNvPr id="2" name="Picture 1">
          <a:extLst>
            <a:ext uri="{FF2B5EF4-FFF2-40B4-BE49-F238E27FC236}">
              <a16:creationId xmlns:a16="http://schemas.microsoft.com/office/drawing/2014/main" id="{C80F90A9-E2DF-4D28-B27D-C84508502FEC}"/>
            </a:ext>
          </a:extLst>
        </xdr:cNvPr>
        <xdr:cNvPicPr>
          <a:picLocks/>
        </xdr:cNvPicPr>
      </xdr:nvPicPr>
      <xdr:blipFill>
        <a:blip xmlns:r="http://schemas.openxmlformats.org/officeDocument/2006/relationships" r:embed="rId1"/>
        <a:stretch>
          <a:fillRect/>
        </a:stretch>
      </xdr:blipFill>
      <xdr:spPr>
        <a:xfrm>
          <a:off x="0" y="0"/>
          <a:ext cx="1778000" cy="50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image" Target="../media/image2.pn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image" Target="../media/image2.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image" Target="../media/image2.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image" Target="../media/image2.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3.xml"/><Relationship Id="rId4" Type="http://schemas.openxmlformats.org/officeDocument/2006/relationships/image" Target="../media/image2.png"/></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image" Target="../media/image2.png"/></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image" Target="../media/image2.png"/></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image" Target="../media/image2.png"/></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image" Target="../media/image2.png"/></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image" Target="../media/image2.pn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image" Target="../media/image2.png"/></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image" Target="../media/image2.png"/></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image" Target="../media/image2.png"/></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image" Target="../media/image2.png"/></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image" Target="../media/image2.png"/></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image" Target="../media/image2.png"/></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image" Target="../media/image2.png"/></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image" Target="../media/image2.png"/></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image" Target="../media/image2.png"/></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7.xml"/><Relationship Id="rId4" Type="http://schemas.openxmlformats.org/officeDocument/2006/relationships/image" Target="../media/image2.png"/></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image" Target="../media/image2.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image" Target="../media/image2.png"/></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image" Target="../media/image2.png"/></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image" Target="../media/image2.png"/></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image" Target="../media/image2.png"/></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32.xml"/><Relationship Id="rId4" Type="http://schemas.openxmlformats.org/officeDocument/2006/relationships/image" Target="../media/image2.png"/></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image" Target="../media/image2.pn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image" Target="../media/image2.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image" Target="../media/image2.png"/></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image" Target="../media/image2.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image" Target="../media/image2.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5044-237F-4BBB-897A-E2BEAC55BF1E}">
  <sheetPr codeName="Sheet1">
    <tabColor rgb="FF0070C0"/>
  </sheetPr>
  <dimension ref="A1:J41"/>
  <sheetViews>
    <sheetView workbookViewId="0">
      <pane ySplit="4" topLeftCell="A6" activePane="bottomLeft" state="frozen"/>
      <selection pane="bottomLeft" activeCell="B7" sqref="B7"/>
    </sheetView>
  </sheetViews>
  <sheetFormatPr defaultColWidth="9.140625" defaultRowHeight="15"/>
  <cols>
    <col min="1" max="1" width="1.5703125" style="11" customWidth="1"/>
    <col min="2" max="2" width="18.85546875" customWidth="1"/>
    <col min="3" max="3" width="13" customWidth="1"/>
    <col min="4" max="4" width="40.85546875" style="53" customWidth="1"/>
    <col min="5" max="5" width="30.140625" customWidth="1"/>
    <col min="6" max="6" width="22.140625" customWidth="1"/>
    <col min="7" max="7" width="20.140625" style="11" customWidth="1"/>
    <col min="8" max="8" width="29.5703125" style="11" bestFit="1" customWidth="1"/>
    <col min="9" max="9" width="14.140625" customWidth="1"/>
    <col min="10" max="10" width="13.5703125" customWidth="1"/>
  </cols>
  <sheetData>
    <row r="1" spans="1:10" ht="4.5" customHeight="1">
      <c r="B1" s="12"/>
      <c r="C1" s="12"/>
      <c r="D1" s="13"/>
      <c r="E1" s="12"/>
      <c r="F1" s="12"/>
      <c r="G1" s="14"/>
      <c r="H1" s="14"/>
      <c r="I1" s="12"/>
    </row>
    <row r="2" spans="1:10" s="16" customFormat="1" ht="23.25">
      <c r="A2" s="15"/>
      <c r="B2" s="177" t="s">
        <v>0</v>
      </c>
      <c r="C2" s="177"/>
      <c r="D2" s="177"/>
      <c r="E2" s="177"/>
      <c r="F2" s="177"/>
      <c r="G2" s="177"/>
      <c r="H2" s="177"/>
      <c r="I2" s="177"/>
      <c r="J2" s="177"/>
    </row>
    <row r="3" spans="1:10" ht="23.25">
      <c r="B3" s="178" t="str">
        <f ca="1">IF(I41&gt;0,"Cannot be submitted, please fix the data errors first.",IF(J41&gt;0,"Can be submitted, but please review warnings and amend data or confirm that all values are indeed correct.","Can be submitted, no errors or warnings."))</f>
        <v>Cannot be submitted, please fix the data errors first.</v>
      </c>
      <c r="C3" s="178"/>
      <c r="D3" s="178"/>
      <c r="E3" s="178"/>
      <c r="F3" s="178"/>
      <c r="G3" s="178"/>
      <c r="H3" s="178"/>
      <c r="I3" s="178"/>
      <c r="J3" s="178"/>
    </row>
    <row r="4" spans="1:10">
      <c r="B4" s="12"/>
      <c r="C4" s="12"/>
      <c r="D4" s="13"/>
      <c r="E4" s="12"/>
      <c r="F4" s="12"/>
      <c r="G4" s="14"/>
      <c r="H4" s="14"/>
      <c r="I4" s="12"/>
    </row>
    <row r="5" spans="1:10" s="16" customFormat="1" ht="13.5" customHeight="1">
      <c r="A5" s="15"/>
      <c r="B5" s="17" t="s">
        <v>1</v>
      </c>
      <c r="C5" s="17"/>
      <c r="D5" s="18"/>
      <c r="E5" s="19"/>
      <c r="F5" s="19"/>
      <c r="G5" s="19"/>
      <c r="H5" s="15"/>
      <c r="I5" s="19"/>
      <c r="J5" s="20"/>
    </row>
    <row r="6" spans="1:10" ht="65.25" customHeight="1">
      <c r="B6" s="179" t="s">
        <v>2</v>
      </c>
      <c r="C6" s="180"/>
      <c r="D6" s="180"/>
      <c r="E6" s="180"/>
      <c r="F6" s="180"/>
      <c r="G6" s="180"/>
      <c r="H6" s="180"/>
      <c r="I6" s="180"/>
      <c r="J6" s="180"/>
    </row>
    <row r="7" spans="1:10" ht="15.75" thickBot="1">
      <c r="B7" s="12"/>
      <c r="C7" s="12"/>
      <c r="D7" s="13"/>
      <c r="E7" s="12"/>
      <c r="F7" s="12"/>
      <c r="G7" s="14"/>
      <c r="H7" s="14"/>
      <c r="I7" s="12"/>
    </row>
    <row r="8" spans="1:10" ht="40.5">
      <c r="A8" s="21"/>
      <c r="B8" s="22" t="s">
        <v>3</v>
      </c>
      <c r="C8" s="23" t="s">
        <v>4</v>
      </c>
      <c r="D8" s="24" t="s">
        <v>5</v>
      </c>
      <c r="E8" s="25" t="s">
        <v>6</v>
      </c>
      <c r="F8" s="25" t="s">
        <v>7</v>
      </c>
      <c r="G8" s="25" t="s">
        <v>8</v>
      </c>
      <c r="H8" s="25" t="s">
        <v>9</v>
      </c>
      <c r="I8" s="25" t="s">
        <v>10</v>
      </c>
      <c r="J8" s="26" t="s">
        <v>11</v>
      </c>
    </row>
    <row r="9" spans="1:10" s="16" customFormat="1">
      <c r="A9" s="15"/>
      <c r="B9" s="8" t="str">
        <f>HYPERLINK("#AML.01.01!$A$1", "AML.01.01")</f>
        <v>AML.01.01</v>
      </c>
      <c r="C9" s="181" t="s">
        <v>12</v>
      </c>
      <c r="D9" s="27" t="str">
        <f>_xlfn.XLOOKUP(B9,'Templates Matrix'!B:B,'Templates Matrix'!D:D,0)</f>
        <v>Basic Information</v>
      </c>
      <c r="E9" s="28" t="s">
        <v>13</v>
      </c>
      <c r="F9" s="28" t="s">
        <v>14</v>
      </c>
      <c r="G9" s="29" t="str">
        <f ca="1">IF(OR(LEFT(E9,11)="Please fill",E9="No"),"",IF(AND(E9="Yes",COUNTA(INDIRECT(B9&amp;"!11:11"))=1),"Yes, please fill","No"))</f>
        <v>Yes, please fill</v>
      </c>
      <c r="H9" s="28" t="str">
        <f t="shared" ref="H9:H40" ca="1" si="0">IF(LEFT(E9,11)="Please fill",E9,IF(E9="No","Not applicable",IF(G9="Yes, please fill", "Empty",IF(I9&gt;0,"Errors to be fixed",IF(J9&gt;0,"Warnings to be reviewed","Ok")))))</f>
        <v>Empty</v>
      </c>
      <c r="I9" s="30">
        <f ca="1">IF(E9="No",0,COUNTIFS(Validations_ext!$B$2:$B$2000, $B9, Validations_ext!$G$2:$G$2000, "ERROR", Validations_ext!$I$2:$I$2000, "&lt;&gt;OK"))</f>
        <v>28</v>
      </c>
      <c r="J9" s="31">
        <f>IF(E9="No",0,COUNTIFS(Validations_ext!$B$2:$B$2000, $B9, Validations_ext!$G$2:$G$2000, "WARNING", Validations_ext!$I$2:$I$2000, "&lt;&gt;OK"))</f>
        <v>0</v>
      </c>
    </row>
    <row r="10" spans="1:10" s="16" customFormat="1">
      <c r="A10" s="15"/>
      <c r="B10" s="8" t="str">
        <f>HYPERLINK("#AML.01.02!$A$1", "AML.01.02")</f>
        <v>AML.01.02</v>
      </c>
      <c r="C10" s="182"/>
      <c r="D10" s="27" t="str">
        <f>_xlfn.XLOOKUP(B10,'Templates Matrix'!B:B,'Templates Matrix'!D:D,0)</f>
        <v>Comments</v>
      </c>
      <c r="E10" s="28" t="s">
        <v>13</v>
      </c>
      <c r="F10" s="28" t="s">
        <v>14</v>
      </c>
      <c r="G10" s="29" t="str">
        <f ca="1">IF(OR(LEFT(E10,11)="Please fill",E10="No"),"",IF(AND(E10="Yes",COUNTA(INDIRECT(B10&amp;"!11:11"))=1),"Yes, but optional","No"))</f>
        <v>Yes, but optional</v>
      </c>
      <c r="H10" s="28" t="str">
        <f t="shared" ca="1" si="0"/>
        <v>Ok</v>
      </c>
      <c r="I10" s="30">
        <f ca="1">IF(E10="No",0,COUNTIFS(Validations_ext!$B$2:$B$2000, $B10, Validations_ext!$G$2:$G$2000, "ERROR", Validations_ext!$I$2:$I$2000, "&lt;&gt;OK"))</f>
        <v>0</v>
      </c>
      <c r="J10" s="31">
        <f>IF(E10="No",0,COUNTIFS(Validations_ext!$B$2:$B$2000, $B10, Validations_ext!$G$2:$G$2000, "WARNING", Validations_ext!$I$2:$I$2000, "&lt;&gt;OK"))</f>
        <v>0</v>
      </c>
    </row>
    <row r="11" spans="1:10" s="16" customFormat="1">
      <c r="A11" s="15"/>
      <c r="B11" s="8" t="str">
        <f>HYPERLINK("#AML.02.01!$A$1", "AML.02.01")</f>
        <v>AML.02.01</v>
      </c>
      <c r="C11" s="32" t="s">
        <v>15</v>
      </c>
      <c r="D11" s="27" t="str">
        <f>_xlfn.XLOOKUP(B11,'Templates Matrix'!B:B,'Templates Matrix'!D:D,0)</f>
        <v>Customers</v>
      </c>
      <c r="E11" s="28" t="s">
        <v>13</v>
      </c>
      <c r="F11" s="28" t="s">
        <v>14</v>
      </c>
      <c r="G11" s="29" t="str">
        <f t="shared" ref="G11:G40" ca="1" si="1">IF(OR(LEFT(E11,11)="Please fill",E11="No"),"",IF(AND(E11="Yes",COUNTA(INDIRECT(B11&amp;"!11:11"))=1),"Yes, please fill","No"))</f>
        <v>No</v>
      </c>
      <c r="H11" s="28" t="str">
        <f t="shared" ca="1" si="0"/>
        <v>Ok</v>
      </c>
      <c r="I11" s="30">
        <f>IF(E11="No",0,COUNTIFS(Validations_ext!$B$2:$B$2000, $B11, Validations_ext!$G$2:$G$2000, "ERROR", Validations_ext!$I$2:$I$2000, "&lt;&gt;OK"))</f>
        <v>0</v>
      </c>
      <c r="J11" s="31">
        <f>IF(E11="No",0,COUNTIFS(Validations_ext!$B$2:$B$2000, $B11, Validations_ext!$G$2:$G$2000, "WARNING", Validations_ext!$I$2:$I$2000, "&lt;&gt;OK"))</f>
        <v>0</v>
      </c>
    </row>
    <row r="12" spans="1:10" s="16" customFormat="1">
      <c r="A12" s="15"/>
      <c r="B12" s="8" t="str">
        <f>HYPERLINK("#AML.03.01!$A$1", "AML.03.01")</f>
        <v>AML.03.01</v>
      </c>
      <c r="C12" s="183" t="s">
        <v>16</v>
      </c>
      <c r="D12" s="27" t="str">
        <f>_xlfn.XLOOKUP(B12,'Templates Matrix'!B:B,'Templates Matrix'!D:D,0)</f>
        <v>Payment accounts</v>
      </c>
      <c r="E12" s="28" t="str">
        <f>IF(INDEX('AML.01.01'!$B$11:$AD$11,1,MATCH(RIGHT(F12,5),'AML.01.01'!$B$6:$AD$6,0))="Yes","Yes",IF(INDEX('AML.01.01'!$B$11:$AD$11,1,MATCH(RIGHT(F12,5),'AML.01.01'!$B$6:$AD$6,0))="","Please fill out "&amp;F12,IF(INDEX('AML.01.01'!$B$11:$AD$11,1,MATCH(RIGHT(F12,5),'AML.01.01'!$B$6:$AD$6,0))="No","No")))</f>
        <v>Please fill out AML.01.01.C0090</v>
      </c>
      <c r="F12" s="15" t="s">
        <v>17</v>
      </c>
      <c r="G12" s="29" t="str">
        <f t="shared" ca="1" si="1"/>
        <v/>
      </c>
      <c r="H12" s="28" t="str">
        <f t="shared" si="0"/>
        <v>Please fill out AML.01.01.C0090</v>
      </c>
      <c r="I12" s="30">
        <f>IF(E12="No",0,COUNTIFS(Validations_ext!$B$2:$B$2000, $B12, Validations_ext!$G$2:$G$2000, "ERROR", Validations_ext!$I$2:$I$2000, "&lt;&gt;OK"))</f>
        <v>0</v>
      </c>
      <c r="J12" s="31">
        <f>IF(E12="No",0,COUNTIFS(Validations_ext!$B$2:$B$2000, $B12, Validations_ext!$G$2:$G$2000, "WARNING", Validations_ext!$I$2:$I$2000, "&lt;&gt;OK"))</f>
        <v>0</v>
      </c>
    </row>
    <row r="13" spans="1:10" s="16" customFormat="1">
      <c r="A13" s="15"/>
      <c r="B13" s="8" t="str">
        <f>HYPERLINK("#AML.03.02!$A$1", "AML.03.02")</f>
        <v>AML.03.02</v>
      </c>
      <c r="C13" s="181"/>
      <c r="D13" s="27" t="str">
        <f>_xlfn.XLOOKUP(B13,'Templates Matrix'!B:B,'Templates Matrix'!D:D,0)</f>
        <v>Virtual IBANs</v>
      </c>
      <c r="E13" s="28" t="str">
        <f>IF(INDEX('AML.01.01'!$B$11:$AD$11,1,MATCH(RIGHT(F13,5),'AML.01.01'!$B$6:$AD$6,0))="Yes","Yes",IF(INDEX('AML.01.01'!$B$11:$AD$11,1,MATCH(RIGHT(F13,5),'AML.01.01'!$B$6:$AD$6,0))="","Please fill out "&amp;F13,IF(INDEX('AML.01.01'!$B$11:$AD$11,1,MATCH(RIGHT(F13,5),'AML.01.01'!$B$6:$AD$6,0))="No","No")))</f>
        <v>Please fill out AML.01.01.C0100</v>
      </c>
      <c r="F13" s="33" t="s">
        <v>18</v>
      </c>
      <c r="G13" s="29" t="str">
        <f t="shared" ca="1" si="1"/>
        <v/>
      </c>
      <c r="H13" s="28" t="str">
        <f t="shared" si="0"/>
        <v>Please fill out AML.01.01.C0100</v>
      </c>
      <c r="I13" s="30">
        <f>IF(E13="No",0,COUNTIFS(Validations_ext!$B$2:$B$2000, $B13, Validations_ext!$G$2:$G$2000, "ERROR", Validations_ext!$I$2:$I$2000, "&lt;&gt;OK"))</f>
        <v>0</v>
      </c>
      <c r="J13" s="31">
        <f>IF(E13="No",0,COUNTIFS(Validations_ext!$B$2:$B$2000, $B13, Validations_ext!$G$2:$G$2000, "WARNING", Validations_ext!$I$2:$I$2000, "&lt;&gt;OK"))</f>
        <v>0</v>
      </c>
    </row>
    <row r="14" spans="1:10" s="16" customFormat="1">
      <c r="A14" s="15"/>
      <c r="B14" s="8" t="str">
        <f>HYPERLINK("#AML.03.03!$A$1", "AML.03.03")</f>
        <v>AML.03.03</v>
      </c>
      <c r="C14" s="181"/>
      <c r="D14" s="27" t="str">
        <f>_xlfn.XLOOKUP(B14,'Templates Matrix'!B:B,'Templates Matrix'!D:D,0)</f>
        <v>Prepaid cards</v>
      </c>
      <c r="E14" s="28" t="str">
        <f>IF(INDEX('AML.01.01'!$B$11:$AD$11,1,MATCH(RIGHT(F14,5),'AML.01.01'!$B$6:$AD$6,0))="Yes","Yes",IF(INDEX('AML.01.01'!$B$11:$AD$11,1,MATCH(RIGHT(F14,5),'AML.01.01'!$B$6:$AD$6,0))="","Please fill out "&amp;F14,IF(INDEX('AML.01.01'!$B$11:$AD$11,1,MATCH(RIGHT(F14,5),'AML.01.01'!$B$6:$AD$6,0))="No","No")))</f>
        <v>Please fill out AML.01.01.C0110</v>
      </c>
      <c r="F14" s="33" t="s">
        <v>19</v>
      </c>
      <c r="G14" s="29" t="str">
        <f t="shared" ca="1" si="1"/>
        <v/>
      </c>
      <c r="H14" s="28" t="str">
        <f t="shared" si="0"/>
        <v>Please fill out AML.01.01.C0110</v>
      </c>
      <c r="I14" s="30">
        <f>IF(E14="No",0,COUNTIFS(Validations_ext!$B$2:$B$2000, $B14, Validations_ext!$G$2:$G$2000, "ERROR", Validations_ext!$I$2:$I$2000, "&lt;&gt;OK"))</f>
        <v>0</v>
      </c>
      <c r="J14" s="31">
        <f>IF(E14="No",0,COUNTIFS(Validations_ext!$B$2:$B$2000, $B14, Validations_ext!$G$2:$G$2000, "WARNING", Validations_ext!$I$2:$I$2000, "&lt;&gt;OK"))</f>
        <v>0</v>
      </c>
    </row>
    <row r="15" spans="1:10" s="16" customFormat="1">
      <c r="A15" s="15"/>
      <c r="B15" s="8" t="str">
        <f>HYPERLINK("#AML.03.04!$A$1", "AML.03.04")</f>
        <v>AML.03.04</v>
      </c>
      <c r="C15" s="181"/>
      <c r="D15" s="27" t="str">
        <f>_xlfn.XLOOKUP(B15,'Templates Matrix'!B:B,'Templates Matrix'!D:D,0)</f>
        <v>Lending and Factoring</v>
      </c>
      <c r="E15" s="28" t="str">
        <f>IF(INDEX('AML.01.01'!$B$11:$AD$11,1,MATCH(RIGHT(F15,5),'AML.01.01'!$B$6:$AD$6,0))="Yes","Yes",IF(INDEX('AML.01.01'!$B$11:$AD$11,1,MATCH(RIGHT(F15,5),'AML.01.01'!$B$6:$AD$6,0))="","Please fill out "&amp;F15,IF(INDEX('AML.01.01'!$B$11:$AD$11,1,MATCH(RIGHT(F15,5),'AML.01.01'!$B$6:$AD$6,0))="No","No")))</f>
        <v>Please fill out AML.01.01.C0120</v>
      </c>
      <c r="F15" s="33" t="s">
        <v>20</v>
      </c>
      <c r="G15" s="29" t="str">
        <f t="shared" ca="1" si="1"/>
        <v/>
      </c>
      <c r="H15" s="28" t="str">
        <f t="shared" si="0"/>
        <v>Please fill out AML.01.01.C0120</v>
      </c>
      <c r="I15" s="30">
        <f>IF(E15="No",0,COUNTIFS(Validations_ext!$B$2:$B$2000, $B15, Validations_ext!$G$2:$G$2000, "ERROR", Validations_ext!$I$2:$I$2000, "&lt;&gt;OK"))</f>
        <v>0</v>
      </c>
      <c r="J15" s="31">
        <f>IF(E15="No",0,COUNTIFS(Validations_ext!$B$2:$B$2000, $B15, Validations_ext!$G$2:$G$2000, "WARNING", Validations_ext!$I$2:$I$2000, "&lt;&gt;OK"))</f>
        <v>0</v>
      </c>
    </row>
    <row r="16" spans="1:10" s="16" customFormat="1">
      <c r="A16" s="15"/>
      <c r="B16" s="8" t="str">
        <f>HYPERLINK("#AML.03.05!$A$1", "AML.03.05")</f>
        <v>AML.03.05</v>
      </c>
      <c r="C16" s="181"/>
      <c r="D16" s="27" t="str">
        <f>_xlfn.XLOOKUP(B16,'Templates Matrix'!B:B,'Templates Matrix'!D:D,0)</f>
        <v>Life insurance contracts</v>
      </c>
      <c r="E16" s="28" t="str">
        <f>IF(INDEX('AML.01.01'!$B$11:$AD$11,1,MATCH(RIGHT(F16,5),'AML.01.01'!$B$6:$AD$6,0))="Yes","Yes",IF(INDEX('AML.01.01'!$B$11:$AD$11,1,MATCH(RIGHT(F16,5),'AML.01.01'!$B$6:$AD$6,0))="","Please fill out "&amp;F16,IF(INDEX('AML.01.01'!$B$11:$AD$11,1,MATCH(RIGHT(F16,5),'AML.01.01'!$B$6:$AD$6,0))="No","No")))</f>
        <v>Please fill out AML.01.01.C0130</v>
      </c>
      <c r="F16" s="33" t="s">
        <v>21</v>
      </c>
      <c r="G16" s="29" t="str">
        <f t="shared" ca="1" si="1"/>
        <v/>
      </c>
      <c r="H16" s="28" t="str">
        <f t="shared" si="0"/>
        <v>Please fill out AML.01.01.C0130</v>
      </c>
      <c r="I16" s="30">
        <f>IF(E16="No",0,COUNTIFS(Validations_ext!$B$2:$B$2000, $B16, Validations_ext!$G$2:$G$2000, "ERROR", Validations_ext!$I$2:$I$2000, "&lt;&gt;OK"))</f>
        <v>0</v>
      </c>
      <c r="J16" s="31">
        <f>IF(E16="No",0,COUNTIFS(Validations_ext!$B$2:$B$2000, $B16, Validations_ext!$G$2:$G$2000, "WARNING", Validations_ext!$I$2:$I$2000, "&lt;&gt;OK"))</f>
        <v>0</v>
      </c>
    </row>
    <row r="17" spans="1:10" s="16" customFormat="1">
      <c r="A17" s="15"/>
      <c r="B17" s="8" t="str">
        <f>HYPERLINK("#AML.03.06!$A$1", "AML.03.06")</f>
        <v>AML.03.06</v>
      </c>
      <c r="C17" s="182"/>
      <c r="D17" s="27" t="str">
        <f>_xlfn.XLOOKUP(B17,'Templates Matrix'!B:B,'Templates Matrix'!D:D,0)</f>
        <v>Currency exchange (involving cash)</v>
      </c>
      <c r="E17" s="28" t="str">
        <f>IF(INDEX('AML.01.01'!$B$11:$AD$11,1,MATCH(RIGHT(F17,5),'AML.01.01'!$B$6:$AD$6,0))="Yes","Yes",IF(INDEX('AML.01.01'!$B$11:$AD$11,1,MATCH(RIGHT(F17,5),'AML.01.01'!$B$6:$AD$6,0))="","Please fill out "&amp;F17,IF(INDEX('AML.01.01'!$B$11:$AD$11,1,MATCH(RIGHT(F17,5),'AML.01.01'!$B$6:$AD$6,0))="No","No")))</f>
        <v>Please fill out AML.01.01.C0140</v>
      </c>
      <c r="F17" s="33" t="s">
        <v>22</v>
      </c>
      <c r="G17" s="29" t="str">
        <f t="shared" ca="1" si="1"/>
        <v/>
      </c>
      <c r="H17" s="28" t="str">
        <f t="shared" si="0"/>
        <v>Please fill out AML.01.01.C0140</v>
      </c>
      <c r="I17" s="30">
        <f>IF(E17="No",0,COUNTIFS(Validations_ext!$B$2:$B$2000, $B17, Validations_ext!$G$2:$G$2000, "ERROR", Validations_ext!$I$2:$I$2000, "&lt;&gt;OK"))</f>
        <v>0</v>
      </c>
      <c r="J17" s="31">
        <f>IF(E17="No",0,COUNTIFS(Validations_ext!$B$2:$B$2000, $B17, Validations_ext!$G$2:$G$2000, "WARNING", Validations_ext!$I$2:$I$2000, "&lt;&gt;OK"))</f>
        <v>0</v>
      </c>
    </row>
    <row r="18" spans="1:10" s="16" customFormat="1">
      <c r="A18" s="15"/>
      <c r="B18" s="8" t="str">
        <f>HYPERLINK("#AML.04.01!$A$1", "AML.04.01")</f>
        <v>AML.04.01</v>
      </c>
      <c r="C18" s="183" t="s">
        <v>23</v>
      </c>
      <c r="D18" s="27" t="str">
        <f>_xlfn.XLOOKUP(B18,'Templates Matrix'!B:B,'Templates Matrix'!D:D,0)</f>
        <v>Investment services</v>
      </c>
      <c r="E18" s="28" t="str">
        <f>IF(INDEX('AML.01.01'!$B$11:$AD$11,1,MATCH(RIGHT(F18,5),'AML.01.01'!$B$6:$AD$6,0))="Yes","Yes",IF(INDEX('AML.01.01'!$B$11:$AD$11,1,MATCH(RIGHT(F18,5),'AML.01.01'!$B$6:$AD$6,0))="","Please fill out "&amp;F18,IF(INDEX('AML.01.01'!$B$11:$AD$11,1,MATCH(RIGHT(F18,5),'AML.01.01'!$B$6:$AD$6,0))="No","No")))</f>
        <v>Please fill out AML.01.01.C0160</v>
      </c>
      <c r="F18" s="33" t="s">
        <v>24</v>
      </c>
      <c r="G18" s="29" t="str">
        <f t="shared" ca="1" si="1"/>
        <v/>
      </c>
      <c r="H18" s="28" t="str">
        <f t="shared" si="0"/>
        <v>Please fill out AML.01.01.C0160</v>
      </c>
      <c r="I18" s="30">
        <f>IF(E18="No",0,COUNTIFS(Validations_ext!$B$2:$B$2000, $B18, Validations_ext!$G$2:$G$2000, "ERROR", Validations_ext!$I$2:$I$2000, "&lt;&gt;OK"))</f>
        <v>0</v>
      </c>
      <c r="J18" s="31">
        <f>IF(E18="No",0,COUNTIFS(Validations_ext!$B$2:$B$2000, $B18, Validations_ext!$G$2:$G$2000, "WARNING", Validations_ext!$I$2:$I$2000, "&lt;&gt;OK"))</f>
        <v>0</v>
      </c>
    </row>
    <row r="19" spans="1:10" s="16" customFormat="1">
      <c r="A19" s="15"/>
      <c r="B19" s="8" t="str">
        <f>HYPERLINK("#AML.04.02!$A$1", "AML.04.02")</f>
        <v>AML.04.02</v>
      </c>
      <c r="C19" s="181"/>
      <c r="D19" s="27" t="str">
        <f>_xlfn.XLOOKUP(B19,'Templates Matrix'!B:B,'Templates Matrix'!D:D,0)</f>
        <v>Money remittance</v>
      </c>
      <c r="E19" s="28" t="str">
        <f>IF(INDEX('AML.01.01'!$B$11:$AD$11,1,MATCH(RIGHT(F19,5),'AML.01.01'!$B$6:$AD$6,0))="Yes","Yes",IF(INDEX('AML.01.01'!$B$11:$AD$11,1,MATCH(RIGHT(F19,5),'AML.01.01'!$B$6:$AD$6,0))="","Please fill out "&amp;F19,IF(INDEX('AML.01.01'!$B$11:$AD$11,1,MATCH(RIGHT(F19,5),'AML.01.01'!$B$6:$AD$6,0))="No","No")))</f>
        <v>Please fill out AML.01.01.C0170</v>
      </c>
      <c r="F19" s="33" t="s">
        <v>25</v>
      </c>
      <c r="G19" s="29" t="str">
        <f t="shared" ca="1" si="1"/>
        <v/>
      </c>
      <c r="H19" s="28" t="str">
        <f t="shared" si="0"/>
        <v>Please fill out AML.01.01.C0170</v>
      </c>
      <c r="I19" s="30">
        <f>IF(E19="No",0,COUNTIFS(Validations_ext!$B$2:$B$2000, $B19, Validations_ext!$G$2:$G$2000, "ERROR", Validations_ext!$I$2:$I$2000, "&lt;&gt;OK"))</f>
        <v>0</v>
      </c>
      <c r="J19" s="31">
        <f>IF(E19="No",0,COUNTIFS(Validations_ext!$B$2:$B$2000, $B19, Validations_ext!$G$2:$G$2000, "WARNING", Validations_ext!$I$2:$I$2000, "&lt;&gt;OK"))</f>
        <v>0</v>
      </c>
    </row>
    <row r="20" spans="1:10" s="16" customFormat="1">
      <c r="A20" s="15"/>
      <c r="B20" s="8" t="str">
        <f>HYPERLINK("#AML.04.03!$A$1", "AML.04.03")</f>
        <v>AML.04.03</v>
      </c>
      <c r="C20" s="181"/>
      <c r="D20" s="27" t="str">
        <f>_xlfn.XLOOKUP(B20,'Templates Matrix'!B:B,'Templates Matrix'!D:D,0)</f>
        <v>Wealth management</v>
      </c>
      <c r="E20" s="28" t="str">
        <f>IF(INDEX('AML.01.01'!$B$11:$AD$11,1,MATCH(RIGHT(F20,5),'AML.01.01'!$B$6:$AD$6,0))="Yes","Yes",IF(INDEX('AML.01.01'!$B$11:$AD$11,1,MATCH(RIGHT(F20,5),'AML.01.01'!$B$6:$AD$6,0))="","Please fill out "&amp;F20,IF(INDEX('AML.01.01'!$B$11:$AD$11,1,MATCH(RIGHT(F20,5),'AML.01.01'!$B$6:$AD$6,0))="No","No")))</f>
        <v>Please fill out AML.01.01.C0180</v>
      </c>
      <c r="F20" s="33" t="s">
        <v>26</v>
      </c>
      <c r="G20" s="29" t="str">
        <f t="shared" ca="1" si="1"/>
        <v/>
      </c>
      <c r="H20" s="28" t="str">
        <f t="shared" si="0"/>
        <v>Please fill out AML.01.01.C0180</v>
      </c>
      <c r="I20" s="30">
        <f>IF(E20="No",0,COUNTIFS(Validations_ext!$B$2:$B$2000, $B20, Validations_ext!$G$2:$G$2000, "ERROR", Validations_ext!$I$2:$I$2000, "&lt;&gt;OK"))</f>
        <v>0</v>
      </c>
      <c r="J20" s="31">
        <f>IF(E20="No",0,COUNTIFS(Validations_ext!$B$2:$B$2000, $B20, Validations_ext!$G$2:$G$2000, "WARNING", Validations_ext!$I$2:$I$2000, "&lt;&gt;OK"))</f>
        <v>0</v>
      </c>
    </row>
    <row r="21" spans="1:10" s="16" customFormat="1">
      <c r="A21" s="15"/>
      <c r="B21" s="8" t="str">
        <f>HYPERLINK("#AML.04.04!$A$1", "AML.04.04")</f>
        <v>AML.04.04</v>
      </c>
      <c r="C21" s="181"/>
      <c r="D21" s="27" t="str">
        <f>_xlfn.XLOOKUP(B21,'Templates Matrix'!B:B,'Templates Matrix'!D:D,0)</f>
        <v>Correspondence services</v>
      </c>
      <c r="E21" s="28" t="str">
        <f>IF(INDEX('AML.01.01'!$B$11:$AD$11,1,MATCH(RIGHT(F21,5),'AML.01.01'!$B$6:$AD$6,0))="Yes","Yes",IF(INDEX('AML.01.01'!$B$11:$AD$11,1,MATCH(RIGHT(F21,5),'AML.01.01'!$B$6:$AD$6,0))="","Please fill out "&amp;F21,IF(INDEX('AML.01.01'!$B$11:$AD$11,1,MATCH(RIGHT(F21,5),'AML.01.01'!$B$6:$AD$6,0))="No","No")))</f>
        <v>Please fill out AML.01.01.C0190</v>
      </c>
      <c r="F21" s="33" t="s">
        <v>27</v>
      </c>
      <c r="G21" s="29" t="str">
        <f t="shared" ca="1" si="1"/>
        <v/>
      </c>
      <c r="H21" s="28" t="str">
        <f t="shared" si="0"/>
        <v>Please fill out AML.01.01.C0190</v>
      </c>
      <c r="I21" s="30">
        <f>IF(E21="No",0,COUNTIFS(Validations_ext!$B$2:$B$2000, $B21, Validations_ext!$G$2:$G$2000, "ERROR", Validations_ext!$I$2:$I$2000, "&lt;&gt;OK"))</f>
        <v>0</v>
      </c>
      <c r="J21" s="31">
        <f>IF(E21="No",0,COUNTIFS(Validations_ext!$B$2:$B$2000, $B21, Validations_ext!$G$2:$G$2000, "WARNING", Validations_ext!$I$2:$I$2000, "&lt;&gt;OK"))</f>
        <v>0</v>
      </c>
    </row>
    <row r="22" spans="1:10" s="16" customFormat="1">
      <c r="A22" s="15"/>
      <c r="B22" s="8" t="str">
        <f>HYPERLINK("#AML.04.05!$A$1", "AML.04.05")</f>
        <v>AML.04.05</v>
      </c>
      <c r="C22" s="181"/>
      <c r="D22" s="27" t="str">
        <f>_xlfn.XLOOKUP(B22,'Templates Matrix'!B:B,'Templates Matrix'!D:D,0)</f>
        <v>Trade finance</v>
      </c>
      <c r="E22" s="28" t="str">
        <f>IF(INDEX('AML.01.01'!$B$11:$AD$11,1,MATCH(RIGHT(F22,5),'AML.01.01'!$B$6:$AD$6,0))="Yes","Yes",IF(INDEX('AML.01.01'!$B$11:$AD$11,1,MATCH(RIGHT(F22,5),'AML.01.01'!$B$6:$AD$6,0))="","Please fill out "&amp;F22,IF(INDEX('AML.01.01'!$B$11:$AD$11,1,MATCH(RIGHT(F22,5),'AML.01.01'!$B$6:$AD$6,0))="No","No")))</f>
        <v>Please fill out AML.01.01.C0200</v>
      </c>
      <c r="F22" s="33" t="s">
        <v>28</v>
      </c>
      <c r="G22" s="29" t="str">
        <f t="shared" ca="1" si="1"/>
        <v/>
      </c>
      <c r="H22" s="28" t="str">
        <f t="shared" si="0"/>
        <v>Please fill out AML.01.01.C0200</v>
      </c>
      <c r="I22" s="30">
        <f>IF(E22="No",0,COUNTIFS(Validations_ext!$B$2:$B$2000, $B22, Validations_ext!$G$2:$G$2000, "ERROR", Validations_ext!$I$2:$I$2000, "&lt;&gt;OK"))</f>
        <v>0</v>
      </c>
      <c r="J22" s="31">
        <f>IF(E22="No",0,COUNTIFS(Validations_ext!$B$2:$B$2000, $B22, Validations_ext!$G$2:$G$2000, "WARNING", Validations_ext!$I$2:$I$2000, "&lt;&gt;OK"))</f>
        <v>0</v>
      </c>
    </row>
    <row r="23" spans="1:10" s="16" customFormat="1">
      <c r="A23" s="15"/>
      <c r="B23" s="8" t="str">
        <f>HYPERLINK("#AML.04.06!$A$1", "AML.04.06")</f>
        <v>AML.04.06</v>
      </c>
      <c r="C23" s="181"/>
      <c r="D23" s="27" t="str">
        <f>_xlfn.XLOOKUP(B23,'Templates Matrix'!B:B,'Templates Matrix'!D:D,0)</f>
        <v>E-money</v>
      </c>
      <c r="E23" s="28" t="str">
        <f>IF(INDEX('AML.01.01'!$B$11:$AD$11,1,MATCH(RIGHT(F23,5),'AML.01.01'!$B$6:$AD$6,0))="Yes","Yes",IF(INDEX('AML.01.01'!$B$11:$AD$11,1,MATCH(RIGHT(F23,5),'AML.01.01'!$B$6:$AD$6,0))="","Please fill out "&amp;F23,IF(INDEX('AML.01.01'!$B$11:$AD$11,1,MATCH(RIGHT(F23,5),'AML.01.01'!$B$6:$AD$6,0))="No","No")))</f>
        <v>Please fill out AML.01.01.C0210</v>
      </c>
      <c r="F23" s="33" t="s">
        <v>29</v>
      </c>
      <c r="G23" s="29" t="str">
        <f t="shared" ca="1" si="1"/>
        <v/>
      </c>
      <c r="H23" s="28" t="str">
        <f t="shared" si="0"/>
        <v>Please fill out AML.01.01.C0210</v>
      </c>
      <c r="I23" s="30">
        <f>IF(E23="No",0,COUNTIFS(Validations_ext!$B$2:$B$2000, $B23, Validations_ext!$G$2:$G$2000, "ERROR", Validations_ext!$I$2:$I$2000, "&lt;&gt;OK"))</f>
        <v>0</v>
      </c>
      <c r="J23" s="31">
        <f>IF(E23="No",0,COUNTIFS(Validations_ext!$B$2:$B$2000, $B23, Validations_ext!$G$2:$G$2000, "WARNING", Validations_ext!$I$2:$I$2000, "&lt;&gt;OK"))</f>
        <v>0</v>
      </c>
    </row>
    <row r="24" spans="1:10" s="16" customFormat="1">
      <c r="A24" s="15"/>
      <c r="B24" s="8" t="str">
        <f>HYPERLINK("#AML.04.07!$A$1", "AML.04.07")</f>
        <v>AML.04.07</v>
      </c>
      <c r="C24" s="181"/>
      <c r="D24" s="27" t="str">
        <f>_xlfn.XLOOKUP(B24,'Templates Matrix'!B:B,'Templates Matrix'!D:D,0)</f>
        <v>TCSP services</v>
      </c>
      <c r="E24" s="28" t="str">
        <f>IF(INDEX('AML.01.01'!$B$11:$AD$11,1,MATCH(RIGHT(F24,5),'AML.01.01'!$B$6:$AD$6,0))="Yes","Yes",IF(INDEX('AML.01.01'!$B$11:$AD$11,1,MATCH(RIGHT(F24,5),'AML.01.01'!$B$6:$AD$6,0))="","Please fill out "&amp;F24,IF(INDEX('AML.01.01'!$B$11:$AD$11,1,MATCH(RIGHT(F24,5),'AML.01.01'!$B$6:$AD$6,0))="No","No")))</f>
        <v>Please fill out AML.01.01.C0220</v>
      </c>
      <c r="F24" s="33" t="s">
        <v>30</v>
      </c>
      <c r="G24" s="29" t="str">
        <f t="shared" ca="1" si="1"/>
        <v/>
      </c>
      <c r="H24" s="28" t="str">
        <f t="shared" si="0"/>
        <v>Please fill out AML.01.01.C0220</v>
      </c>
      <c r="I24" s="30">
        <f>IF(E24="No",0,COUNTIFS(Validations_ext!$B$2:$B$2000, $B24, Validations_ext!$G$2:$G$2000, "ERROR", Validations_ext!$I$2:$I$2000, "&lt;&gt;OK"))</f>
        <v>0</v>
      </c>
      <c r="J24" s="31">
        <f>IF(E24="No",0,COUNTIFS(Validations_ext!$B$2:$B$2000, $B24, Validations_ext!$G$2:$G$2000, "WARNING", Validations_ext!$I$2:$I$2000, "&lt;&gt;OK"))</f>
        <v>0</v>
      </c>
    </row>
    <row r="25" spans="1:10" s="16" customFormat="1">
      <c r="A25" s="15"/>
      <c r="B25" s="8" t="str">
        <f>HYPERLINK("#AML.04.08!$A$1", "AML.04.08")</f>
        <v>AML.04.08</v>
      </c>
      <c r="C25" s="181"/>
      <c r="D25" s="27" t="str">
        <f>_xlfn.XLOOKUP(B25,'Templates Matrix'!B:B,'Templates Matrix'!D:D,0)</f>
        <v>Crypto fiat cards</v>
      </c>
      <c r="E25" s="28" t="str">
        <f>IF(INDEX('AML.01.01'!$B$11:$AD$11,1,MATCH(RIGHT(F25,5),'AML.01.01'!$B$6:$AD$6,0))="Yes","Yes",IF(INDEX('AML.01.01'!$B$11:$AD$11,1,MATCH(RIGHT(F25,5),'AML.01.01'!$B$6:$AD$6,0))="","Please fill out "&amp;F25,IF(INDEX('AML.01.01'!$B$11:$AD$11,1,MATCH(RIGHT(F25,5),'AML.01.01'!$B$6:$AD$6,0))="No","No")))</f>
        <v>Please fill out AML.01.01.C0260</v>
      </c>
      <c r="F25" s="33" t="s">
        <v>31</v>
      </c>
      <c r="G25" s="34" t="str">
        <f t="shared" ca="1" si="1"/>
        <v/>
      </c>
      <c r="H25" s="28" t="str">
        <f t="shared" si="0"/>
        <v>Please fill out AML.01.01.C0260</v>
      </c>
      <c r="I25" s="30">
        <f>IF(E25="No",0,COUNTIFS(Validations_ext!$B$2:$B$2000, $B25, Validations_ext!$G$2:$G$2000, "ERROR", Validations_ext!$I$2:$I$2000, "&lt;&gt;OK"))</f>
        <v>0</v>
      </c>
      <c r="J25" s="31">
        <f>IF(E25="No",0,COUNTIFS(Validations_ext!$B$2:$B$2000, $B25, Validations_ext!$G$2:$G$2000, "WARNING", Validations_ext!$I$2:$I$2000, "&lt;&gt;OK"))</f>
        <v>0</v>
      </c>
    </row>
    <row r="26" spans="1:10" s="16" customFormat="1">
      <c r="A26" s="15"/>
      <c r="B26" s="8" t="str">
        <f>HYPERLINK("#AML.04.09!$A$1", "AML.04.09")</f>
        <v>AML.04.09</v>
      </c>
      <c r="C26" s="181"/>
      <c r="D26" s="27" t="str">
        <f>_xlfn.XLOOKUP(B26,'Templates Matrix'!B:B,'Templates Matrix'!D:D,0)</f>
        <v>Custody of crypto assets</v>
      </c>
      <c r="E26" s="28" t="str">
        <f>IF(INDEX('AML.01.01'!$B$11:$AD$11,1,MATCH(RIGHT(F26,5),'AML.01.01'!$B$6:$AD$6,0))="Yes","Yes",IF(INDEX('AML.01.01'!$B$11:$AD$11,1,MATCH(RIGHT(F26,5),'AML.01.01'!$B$6:$AD$6,0))="","Please fill out "&amp;F26,IF(INDEX('AML.01.01'!$B$11:$AD$11,1,MATCH(RIGHT(F26,5),'AML.01.01'!$B$6:$AD$6,0))="No","No")))</f>
        <v>Please fill out AML.01.01.C0150</v>
      </c>
      <c r="F26" s="33" t="s">
        <v>32</v>
      </c>
      <c r="G26" s="29" t="str">
        <f t="shared" ca="1" si="1"/>
        <v/>
      </c>
      <c r="H26" s="28" t="str">
        <f t="shared" si="0"/>
        <v>Please fill out AML.01.01.C0150</v>
      </c>
      <c r="I26" s="30">
        <f>IF(E26="No",0,COUNTIFS(Validations_ext!$B$2:$B$2000, $B26, Validations_ext!$G$2:$G$2000, "ERROR", Validations_ext!$I$2:$I$2000, "&lt;&gt;OK"))</f>
        <v>0</v>
      </c>
      <c r="J26" s="31">
        <f>IF(E26="No",0,COUNTIFS(Validations_ext!$B$2:$B$2000, $B26, Validations_ext!$G$2:$G$2000, "WARNING", Validations_ext!$I$2:$I$2000, "&lt;&gt;OK"))</f>
        <v>0</v>
      </c>
    </row>
    <row r="27" spans="1:10" s="16" customFormat="1">
      <c r="A27" s="15"/>
      <c r="B27" s="8" t="str">
        <f>HYPERLINK("#AML.04.10!$A$1", "AML.04.10")</f>
        <v>AML.04.10</v>
      </c>
      <c r="C27" s="181"/>
      <c r="D27" s="27" t="str">
        <f>_xlfn.XLOOKUP(B27,'Templates Matrix'!B:B,'Templates Matrix'!D:D,0)</f>
        <v>Crypto Services</v>
      </c>
      <c r="E27" s="28" t="str">
        <f>IF(INDEX('AML.01.01'!$B$11:$AD$11,1,MATCH(RIGHT(F27,5),'AML.01.01'!$B$6:$AD$6,0))="Yes","Yes",IF(INDEX('AML.01.01'!$B$11:$AD$11,1,MATCH(RIGHT(F27,5),'AML.01.01'!$B$6:$AD$6,0))="","Please fill out "&amp;F27,IF(INDEX('AML.01.01'!$B$11:$AD$11,1,MATCH(RIGHT(F27,5),'AML.01.01'!$B$6:$AD$6,0))="No","No")))</f>
        <v>Please fill out AML.01.01.C0230</v>
      </c>
      <c r="F27" s="33" t="s">
        <v>33</v>
      </c>
      <c r="G27" s="29" t="str">
        <f t="shared" ca="1" si="1"/>
        <v/>
      </c>
      <c r="H27" s="28" t="str">
        <f t="shared" si="0"/>
        <v>Please fill out AML.01.01.C0230</v>
      </c>
      <c r="I27" s="30">
        <f>IF(E27="No",0,COUNTIFS(Validations_ext!$B$2:$B$2000, $B27, Validations_ext!$G$2:$G$2000, "ERROR", Validations_ext!$I$2:$I$2000, "&lt;&gt;OK"))</f>
        <v>0</v>
      </c>
      <c r="J27" s="31">
        <f>IF(E27="No",0,COUNTIFS(Validations_ext!$B$2:$B$2000, $B27, Validations_ext!$G$2:$G$2000, "WARNING", Validations_ext!$I$2:$I$2000, "&lt;&gt;OK"))</f>
        <v>0</v>
      </c>
    </row>
    <row r="28" spans="1:10" s="16" customFormat="1" ht="30">
      <c r="A28" s="15"/>
      <c r="B28" s="8" t="str">
        <f>HYPERLINK("#AML.04.11!$A$1", "AML.04.11")</f>
        <v>AML.04.11</v>
      </c>
      <c r="C28" s="181"/>
      <c r="D28" s="35" t="str">
        <f>_xlfn.XLOOKUP(B28,'Templates Matrix'!B:B,'Templates Matrix'!D:D,0)</f>
        <v>Management of UCITS/AIFS</v>
      </c>
      <c r="E28" s="36" t="str">
        <f>IF(OR('AML.01.01'!Z11="Yes",'AML.01.01'!Y11="Yes"),"Yes",IF(OR('AML.01.01'!Z11="",'AML.01.01'!Y11=""),"Please fill out "&amp;F28,"No"))</f>
        <v>Please fill out AML.01.01.C0240 and AML.01.01.C0250</v>
      </c>
      <c r="F28" s="37" t="s">
        <v>34</v>
      </c>
      <c r="G28" s="29" t="str">
        <f t="shared" ca="1" si="1"/>
        <v/>
      </c>
      <c r="H28" s="36" t="str">
        <f t="shared" si="0"/>
        <v>Please fill out AML.01.01.C0240 and AML.01.01.C0250</v>
      </c>
      <c r="I28" s="30">
        <f>IF(E28="No",0,COUNTIFS(Validations_ext!$B$2:$B$2000, $B28, Validations_ext!$G$2:$G$2000, "ERROR", Validations_ext!$I$2:$I$2000, "&lt;&gt;OK"))</f>
        <v>0</v>
      </c>
      <c r="J28" s="31">
        <f>IF(E28="No",0,COUNTIFS(Validations_ext!$B$2:$B$2000, $B28, Validations_ext!$G$2:$G$2000, "WARNING", Validations_ext!$I$2:$I$2000, "&lt;&gt;OK"))</f>
        <v>0</v>
      </c>
    </row>
    <row r="29" spans="1:10" s="16" customFormat="1">
      <c r="A29" s="15"/>
      <c r="B29" s="8" t="str">
        <f>HYPERLINK("#AML.04.12!$A$1", "AML.04.12")</f>
        <v>AML.04.12</v>
      </c>
      <c r="C29" s="181"/>
      <c r="D29" s="27" t="str">
        <f>_xlfn.XLOOKUP(B29,'Templates Matrix'!B:B,'Templates Matrix'!D:D,0)</f>
        <v>Safe custody services</v>
      </c>
      <c r="E29" s="28" t="str">
        <f>IF(INDEX('AML.01.01'!$B$11:$AD$11,1,MATCH(RIGHT(F29,5),'AML.01.01'!$B$6:$AD$6,0))="Yes","Yes",IF(INDEX('AML.01.01'!$B$11:$AD$11,1,MATCH(RIGHT(F29,5),'AML.01.01'!$B$6:$AD$6,0))="","Please fill out "&amp;F29,IF(INDEX('AML.01.01'!$B$11:$AD$11,1,MATCH(RIGHT(F29,5),'AML.01.01'!$B$6:$AD$6,0))="No","No")))</f>
        <v>Please fill out AML.01.01.C0270</v>
      </c>
      <c r="F29" s="33" t="s">
        <v>35</v>
      </c>
      <c r="G29" s="29" t="str">
        <f t="shared" ca="1" si="1"/>
        <v/>
      </c>
      <c r="H29" s="28" t="str">
        <f t="shared" si="0"/>
        <v>Please fill out AML.01.01.C0270</v>
      </c>
      <c r="I29" s="30">
        <f>IF(E29="No",0,COUNTIFS(Validations_ext!$B$2:$B$2000, $B29, Validations_ext!$G$2:$G$2000, "ERROR", Validations_ext!$I$2:$I$2000, "&lt;&gt;OK"))</f>
        <v>0</v>
      </c>
      <c r="J29" s="31">
        <f>IF(E29="No",0,COUNTIFS(Validations_ext!$B$2:$B$2000, $B29, Validations_ext!$G$2:$G$2000, "WARNING", Validations_ext!$I$2:$I$2000, "&lt;&gt;OK"))</f>
        <v>0</v>
      </c>
    </row>
    <row r="30" spans="1:10" s="16" customFormat="1">
      <c r="A30" s="15"/>
      <c r="B30" s="8" t="str">
        <f>HYPERLINK("#AML.04.13!$A$1", "AML.04.13")</f>
        <v>AML.04.13</v>
      </c>
      <c r="C30" s="181"/>
      <c r="D30" s="27" t="str">
        <f>_xlfn.XLOOKUP(B30,'Templates Matrix'!B:B,'Templates Matrix'!D:D,0)</f>
        <v>Crowdfunding</v>
      </c>
      <c r="E30" s="28" t="str">
        <f>IF(INDEX('AML.01.01'!$B$11:$AD$11,1,MATCH(RIGHT(F30,5),'AML.01.01'!$B$6:$AD$6,0))="Yes","Yes",IF(INDEX('AML.01.01'!$B$11:$AD$11,1,MATCH(RIGHT(F30,5),'AML.01.01'!$B$6:$AD$6,0))="","Please fill out "&amp;F30,IF(INDEX('AML.01.01'!$B$11:$AD$11,1,MATCH(RIGHT(F30,5),'AML.01.01'!$B$6:$AD$6,0))="No","No")))</f>
        <v>Please fill out AML.01.01.C0280</v>
      </c>
      <c r="F30" s="33" t="s">
        <v>36</v>
      </c>
      <c r="G30" s="29" t="str">
        <f t="shared" ca="1" si="1"/>
        <v/>
      </c>
      <c r="H30" s="28" t="str">
        <f t="shared" si="0"/>
        <v>Please fill out AML.01.01.C0280</v>
      </c>
      <c r="I30" s="30">
        <f>IF(E30="No",0,COUNTIFS(Validations_ext!$B$2:$B$2000, $B30, Validations_ext!$G$2:$G$2000, "ERROR", Validations_ext!$I$2:$I$2000, "&lt;&gt;OK"))</f>
        <v>0</v>
      </c>
      <c r="J30" s="31">
        <f>IF(E30="No",0,COUNTIFS(Validations_ext!$B$2:$B$2000, $B30, Validations_ext!$G$2:$G$2000, "WARNING", Validations_ext!$I$2:$I$2000, "&lt;&gt;OK"))</f>
        <v>0</v>
      </c>
    </row>
    <row r="31" spans="1:10" s="16" customFormat="1">
      <c r="A31" s="15"/>
      <c r="B31" s="8" t="str">
        <f>HYPERLINK("#AML.04.14!$A$1", "AML.04.14")</f>
        <v>AML.04.14</v>
      </c>
      <c r="C31" s="182"/>
      <c r="D31" s="27" t="str">
        <f>_xlfn.XLOOKUP(B31,'Templates Matrix'!B:B,'Templates Matrix'!D:D,0)</f>
        <v>Cash transactions</v>
      </c>
      <c r="E31" s="28" t="str">
        <f>IF(INDEX('AML.01.01'!$B$11:$AD$11,1,MATCH(RIGHT(F31,5),'AML.01.01'!$B$6:$AD$6,0))="Yes","Yes",IF(INDEX('AML.01.01'!$B$11:$AD$11,1,MATCH(RIGHT(F31,5),'AML.01.01'!$B$6:$AD$6,0))="","Please fill out "&amp;F31,IF(INDEX('AML.01.01'!$B$11:$AD$11,1,MATCH(RIGHT(F31,5),'AML.01.01'!$B$6:$AD$6,0))="No","No")))</f>
        <v>Please fill out AML.01.01.C0290</v>
      </c>
      <c r="F31" s="33" t="s">
        <v>37</v>
      </c>
      <c r="G31" s="29" t="str">
        <f t="shared" ca="1" si="1"/>
        <v/>
      </c>
      <c r="H31" s="28" t="str">
        <f t="shared" si="0"/>
        <v>Please fill out AML.01.01.C0290</v>
      </c>
      <c r="I31" s="30">
        <f>IF(E31="No",0,COUNTIFS(Validations_ext!$B$2:$B$2000, $B31, Validations_ext!$G$2:$G$2000, "ERROR", Validations_ext!$I$2:$I$2000, "&lt;&gt;OK"))</f>
        <v>0</v>
      </c>
      <c r="J31" s="31">
        <f>IF(E31="No",0,COUNTIFS(Validations_ext!$B$2:$B$2000, $B31, Validations_ext!$G$2:$G$2000, "WARNING", Validations_ext!$I$2:$I$2000, "&lt;&gt;OK"))</f>
        <v>0</v>
      </c>
    </row>
    <row r="32" spans="1:10" s="16" customFormat="1">
      <c r="A32" s="15"/>
      <c r="B32" s="8" t="str">
        <f>HYPERLINK("#AML.05.01!$A$1", "AML.05.01")</f>
        <v>AML.05.01</v>
      </c>
      <c r="C32" s="38" t="s">
        <v>38</v>
      </c>
      <c r="D32" s="27" t="str">
        <f>_xlfn.XLOOKUP(B32,'Templates Matrix'!B:B,'Templates Matrix'!D:D,0)</f>
        <v>Geographies</v>
      </c>
      <c r="E32" s="28" t="s">
        <v>13</v>
      </c>
      <c r="F32" s="28" t="s">
        <v>14</v>
      </c>
      <c r="G32" s="29" t="str">
        <f t="shared" ca="1" si="1"/>
        <v>Yes, please fill</v>
      </c>
      <c r="H32" s="28" t="str">
        <f t="shared" ca="1" si="0"/>
        <v>Empty</v>
      </c>
      <c r="I32" s="30">
        <f>IF(E32="No",0,COUNTIFS(Validations_ext!$B$2:$B$2000, $B32, Validations_ext!$G$2:$G$2000, "ERROR", Validations_ext!$I$2:$I$2000, "&lt;&gt;OK"))</f>
        <v>0</v>
      </c>
      <c r="J32" s="31">
        <f>IF(E32="No",0,COUNTIFS(Validations_ext!$B$2:$B$2000, $B32, Validations_ext!$G$2:$G$2000, "WARNING", Validations_ext!$I$2:$I$2000, "&lt;&gt;OK"))</f>
        <v>0</v>
      </c>
    </row>
    <row r="33" spans="1:10" s="16" customFormat="1">
      <c r="A33" s="15"/>
      <c r="B33" s="8" t="str">
        <f>HYPERLINK("#AML.06.01!$A$1", "AML.06.01")</f>
        <v>AML.06.01</v>
      </c>
      <c r="C33" s="38" t="s">
        <v>39</v>
      </c>
      <c r="D33" s="27" t="str">
        <f>_xlfn.XLOOKUP(B33,'Templates Matrix'!B:B,'Templates Matrix'!D:D,0)</f>
        <v>Distribution channels</v>
      </c>
      <c r="E33" s="28" t="s">
        <v>13</v>
      </c>
      <c r="F33" s="28" t="s">
        <v>14</v>
      </c>
      <c r="G33" s="29" t="str">
        <f t="shared" ca="1" si="1"/>
        <v>Yes, please fill</v>
      </c>
      <c r="H33" s="28" t="str">
        <f t="shared" ca="1" si="0"/>
        <v>Empty</v>
      </c>
      <c r="I33" s="30">
        <f>IF(E33="No",0,COUNTIFS(Validations_ext!$B$2:$B$2000, $B33, Validations_ext!$G$2:$G$2000, "ERROR", Validations_ext!$I$2:$I$2000, "&lt;&gt;OK"))</f>
        <v>0</v>
      </c>
      <c r="J33" s="31">
        <f>IF(E33="No",0,COUNTIFS(Validations_ext!$B$2:$B$2000, $B33, Validations_ext!$G$2:$G$2000, "WARNING", Validations_ext!$I$2:$I$2000, "&lt;&gt;OK"))</f>
        <v>0</v>
      </c>
    </row>
    <row r="34" spans="1:10" s="16" customFormat="1" ht="30">
      <c r="A34" s="15"/>
      <c r="B34" s="8" t="str">
        <f>HYPERLINK("#AML.07.01!$A$1", "AML.07.01")</f>
        <v>AML.07.01</v>
      </c>
      <c r="C34" s="174" t="s">
        <v>40</v>
      </c>
      <c r="D34" s="27" t="str">
        <f>_xlfn.XLOOKUP(B34,'Templates Matrix'!B:B,'Templates Matrix'!D:D,0)</f>
        <v>Governance/Culture and Compliance Function</v>
      </c>
      <c r="E34" s="28" t="s">
        <v>13</v>
      </c>
      <c r="F34" s="28" t="s">
        <v>14</v>
      </c>
      <c r="G34" s="29" t="str">
        <f t="shared" ca="1" si="1"/>
        <v>Yes, please fill</v>
      </c>
      <c r="H34" s="28" t="str">
        <f t="shared" ca="1" si="0"/>
        <v>Empty</v>
      </c>
      <c r="I34" s="30">
        <f>IF(E34="No",0,COUNTIFS(Validations_ext!$B$2:$B$2000, $B34, Validations_ext!$G$2:$G$2000, "ERROR", Validations_ext!$I$2:$I$2000, "&lt;&gt;OK"))</f>
        <v>0</v>
      </c>
      <c r="J34" s="31">
        <f>IF(E34="No",0,COUNTIFS(Validations_ext!$B$2:$B$2000, $B34, Validations_ext!$G$2:$G$2000, "WARNING", Validations_ext!$I$2:$I$2000, "&lt;&gt;OK"))</f>
        <v>0</v>
      </c>
    </row>
    <row r="35" spans="1:10" s="16" customFormat="1">
      <c r="A35" s="15"/>
      <c r="B35" s="8" t="str">
        <f>HYPERLINK("#AML.07.02!$A$1", "AML.07.02")</f>
        <v>AML.07.02</v>
      </c>
      <c r="C35" s="175"/>
      <c r="D35" s="27" t="str">
        <f>_xlfn.XLOOKUP(B35,'Templates Matrix'!B:B,'Templates Matrix'!D:D,0)</f>
        <v>Internal Controls and outsourcing</v>
      </c>
      <c r="E35" s="28" t="s">
        <v>13</v>
      </c>
      <c r="F35" s="28" t="s">
        <v>14</v>
      </c>
      <c r="G35" s="29" t="str">
        <f t="shared" ca="1" si="1"/>
        <v>Yes, please fill</v>
      </c>
      <c r="H35" s="28" t="str">
        <f t="shared" ca="1" si="0"/>
        <v>Empty</v>
      </c>
      <c r="I35" s="30">
        <f>IF(E35="No",0,COUNTIFS(Validations_ext!$B$2:$B$2000, $B35, Validations_ext!$G$2:$G$2000, "ERROR", Validations_ext!$I$2:$I$2000, "&lt;&gt;OK"))</f>
        <v>0</v>
      </c>
      <c r="J35" s="31">
        <f>IF(E35="No",0,COUNTIFS(Validations_ext!$B$2:$B$2000, $B35, Validations_ext!$G$2:$G$2000, "WARNING", Validations_ext!$I$2:$I$2000, "&lt;&gt;OK"))</f>
        <v>0</v>
      </c>
    </row>
    <row r="36" spans="1:10" s="16" customFormat="1">
      <c r="A36" s="15"/>
      <c r="B36" s="8" t="str">
        <f>HYPERLINK("#AML.07.03!$A$1", "AML.07.03")</f>
        <v>AML.07.03</v>
      </c>
      <c r="C36" s="175"/>
      <c r="D36" s="27" t="str">
        <f>_xlfn.XLOOKUP(B36,'Templates Matrix'!B:B,'Templates Matrix'!D:D,0)</f>
        <v>Risk Assessment</v>
      </c>
      <c r="E36" s="28" t="s">
        <v>13</v>
      </c>
      <c r="F36" s="28" t="s">
        <v>14</v>
      </c>
      <c r="G36" s="29" t="str">
        <f t="shared" ca="1" si="1"/>
        <v>No</v>
      </c>
      <c r="H36" s="28" t="str">
        <f t="shared" ca="1" si="0"/>
        <v>Ok</v>
      </c>
      <c r="I36" s="30">
        <f>IF(E36="No",0,COUNTIFS(Validations_ext!$B$2:$B$2000, $B36, Validations_ext!$G$2:$G$2000, "ERROR", Validations_ext!$I$2:$I$2000, "&lt;&gt;OK"))</f>
        <v>0</v>
      </c>
      <c r="J36" s="31">
        <f>IF(E36="No",0,COUNTIFS(Validations_ext!$B$2:$B$2000, $B36, Validations_ext!$G$2:$G$2000, "WARNING", Validations_ext!$I$2:$I$2000, "&lt;&gt;OK"))</f>
        <v>0</v>
      </c>
    </row>
    <row r="37" spans="1:10" s="16" customFormat="1">
      <c r="A37" s="15"/>
      <c r="B37" s="8" t="str">
        <f>HYPERLINK("#AML.07.04!$A$1", "AML.07.04")</f>
        <v>AML.07.04</v>
      </c>
      <c r="C37" s="175"/>
      <c r="D37" s="27" t="str">
        <f>_xlfn.XLOOKUP(B37,'Templates Matrix'!B:B,'Templates Matrix'!D:D,0)</f>
        <v>Customer Due Diligence and Monitoring</v>
      </c>
      <c r="E37" s="28" t="s">
        <v>13</v>
      </c>
      <c r="F37" s="28" t="s">
        <v>14</v>
      </c>
      <c r="G37" s="29" t="str">
        <f t="shared" ca="1" si="1"/>
        <v>Yes, please fill</v>
      </c>
      <c r="H37" s="28" t="str">
        <f t="shared" ca="1" si="0"/>
        <v>Empty</v>
      </c>
      <c r="I37" s="30">
        <f>IF(E37="No",0,COUNTIFS(Validations_ext!$B$2:$B$2000, $B37, Validations_ext!$G$2:$G$2000, "ERROR", Validations_ext!$I$2:$I$2000, "&lt;&gt;OK"))</f>
        <v>0</v>
      </c>
      <c r="J37" s="31">
        <f>IF(E37="No",0,COUNTIFS(Validations_ext!$B$2:$B$2000, $B37, Validations_ext!$G$2:$G$2000, "WARNING", Validations_ext!$I$2:$I$2000, "&lt;&gt;OK"))</f>
        <v>0</v>
      </c>
    </row>
    <row r="38" spans="1:10" s="16" customFormat="1" ht="30">
      <c r="A38" s="15"/>
      <c r="B38" s="8" t="str">
        <f>HYPERLINK("#AML.07.05!$A$1", "AML.07.05")</f>
        <v>AML.07.05</v>
      </c>
      <c r="C38" s="175"/>
      <c r="D38" s="27" t="str">
        <f>_xlfn.XLOOKUP(B38,'Templates Matrix'!B:B,'Templates Matrix'!D:D,0)</f>
        <v>Transaction Monitoring and Suspicious Activity Monitoring</v>
      </c>
      <c r="E38" s="28" t="s">
        <v>13</v>
      </c>
      <c r="F38" s="28" t="s">
        <v>14</v>
      </c>
      <c r="G38" s="29" t="str">
        <f t="shared" ca="1" si="1"/>
        <v>Yes, please fill</v>
      </c>
      <c r="H38" s="28" t="str">
        <f t="shared" ca="1" si="0"/>
        <v>Empty</v>
      </c>
      <c r="I38" s="30">
        <f>IF(E38="No",0,COUNTIFS(Validations_ext!$B$2:$B$2000, $B38, Validations_ext!$G$2:$G$2000, "ERROR", Validations_ext!$I$2:$I$2000, "&lt;&gt;OK"))</f>
        <v>0</v>
      </c>
      <c r="J38" s="31">
        <f>IF(E38="No",0,COUNTIFS(Validations_ext!$B$2:$B$2000, $B38, Validations_ext!$G$2:$G$2000, "WARNING", Validations_ext!$I$2:$I$2000, "&lt;&gt;OK"))</f>
        <v>0</v>
      </c>
    </row>
    <row r="39" spans="1:10" s="16" customFormat="1" ht="45">
      <c r="A39" s="15"/>
      <c r="B39" s="8" t="str">
        <f>HYPERLINK("#AML.07.06!$A$1", "AML.07.06")</f>
        <v>AML.07.06</v>
      </c>
      <c r="C39" s="175"/>
      <c r="D39" s="27" t="str">
        <f>_xlfn.XLOOKUP(B39,'Templates Matrix'!B:B,'Templates Matrix'!D:D,0)</f>
        <v>Targeted Financial Sanctions and Compliance with Fund Transfers Regulation</v>
      </c>
      <c r="E39" s="28" t="s">
        <v>13</v>
      </c>
      <c r="F39" s="28" t="s">
        <v>14</v>
      </c>
      <c r="G39" s="29" t="str">
        <f t="shared" ca="1" si="1"/>
        <v>Yes, please fill</v>
      </c>
      <c r="H39" s="28" t="str">
        <f t="shared" ca="1" si="0"/>
        <v>Empty</v>
      </c>
      <c r="I39" s="39">
        <f>IF(E39="No",0,COUNTIFS(Validations_ext!$B$2:$B$2000, $B39, Validations_ext!$G$2:$G$2000, "ERROR", Validations_ext!$I$2:$I$2000, "&lt;&gt;OK"))</f>
        <v>0</v>
      </c>
      <c r="J39" s="40">
        <f>IF(E39="No",0,COUNTIFS(Validations_ext!$B$2:$B$2000, $B39, Validations_ext!$G$2:$G$2000, "WARNING", Validations_ext!$I$2:$I$2000, "&lt;&gt;OK"))</f>
        <v>0</v>
      </c>
    </row>
    <row r="40" spans="1:10" s="16" customFormat="1" ht="15.75" thickBot="1">
      <c r="A40" s="15"/>
      <c r="B40" s="9" t="str">
        <f>HYPERLINK("#AML.07.07!$A$1", "AML.07.07")</f>
        <v>AML.07.07</v>
      </c>
      <c r="C40" s="176"/>
      <c r="D40" s="41" t="str">
        <f>_xlfn.XLOOKUP(B40,'Templates Matrix'!B:B,'Templates Matrix'!D:D,0)</f>
        <v>Group-wide AML/CFT Framework</v>
      </c>
      <c r="E40" s="42" t="s">
        <v>13</v>
      </c>
      <c r="F40" s="42" t="s">
        <v>14</v>
      </c>
      <c r="G40" s="43" t="str">
        <f t="shared" ca="1" si="1"/>
        <v>Yes, please fill</v>
      </c>
      <c r="H40" s="42" t="str">
        <f t="shared" ca="1" si="0"/>
        <v>Empty</v>
      </c>
      <c r="I40" s="44">
        <f>IF(E40="No",0,COUNTIFS(Validations_ext!$B$2:$B$2000, $B40, Validations_ext!$G$2:$G$2000, "ERROR", Validations_ext!$I$2:$I$2000, "&lt;&gt;OK"))</f>
        <v>0</v>
      </c>
      <c r="J40" s="45">
        <f>IF(E40="No",0,COUNTIFS(Validations_ext!$B$2:$B$2000, $B40, Validations_ext!$G$2:$G$2000, "WARNING", Validations_ext!$I$2:$I$2000, "&lt;&gt;OK"))</f>
        <v>0</v>
      </c>
    </row>
    <row r="41" spans="1:10" s="16" customFormat="1" ht="16.5" thickTop="1" thickBot="1">
      <c r="A41" s="15"/>
      <c r="B41" s="46"/>
      <c r="C41" s="47"/>
      <c r="D41" s="48"/>
      <c r="E41" s="47"/>
      <c r="F41" s="47"/>
      <c r="G41" s="49"/>
      <c r="H41" s="50" t="s">
        <v>41</v>
      </c>
      <c r="I41" s="51">
        <f ca="1">SUM(I9:I40)</f>
        <v>28</v>
      </c>
      <c r="J41" s="52">
        <f>SUM(J9:J40)</f>
        <v>0</v>
      </c>
    </row>
  </sheetData>
  <sheetProtection algorithmName="SHA-512" hashValue="namjJg7BGkxKLJ/L0D60EtHafOQXSF6DTMuvEd5sGh7mS3ttn8kEqIraKeYI2CVP8ZS7tMQ87W5XMY13zz1Q7A==" saltValue="iZvxIgRolhkgWLQKkhixdA==" spinCount="100000" sheet="1" objects="1" scenarios="1"/>
  <mergeCells count="7">
    <mergeCell ref="C34:C40"/>
    <mergeCell ref="B2:J2"/>
    <mergeCell ref="B3:J3"/>
    <mergeCell ref="B6:J6"/>
    <mergeCell ref="C9:C10"/>
    <mergeCell ref="C12:C17"/>
    <mergeCell ref="C18:C31"/>
  </mergeCells>
  <conditionalFormatting sqref="B3:D3">
    <cfRule type="cellIs" dxfId="77" priority="11" operator="equal">
      <formula>"Can be submitted, no errors or warnings."</formula>
    </cfRule>
    <cfRule type="cellIs" dxfId="76" priority="12" operator="equal">
      <formula>"Can be submitted, but please review warnings and amend data or confirm that all values are indeed correct."</formula>
    </cfRule>
    <cfRule type="cellIs" dxfId="75" priority="13" operator="equal">
      <formula>"Cannot be submitted, please fix the data errors first."</formula>
    </cfRule>
  </conditionalFormatting>
  <conditionalFormatting sqref="E9:E40">
    <cfRule type="containsText" dxfId="74" priority="9" operator="containsText" text="Please fill">
      <formula>NOT(ISERROR(SEARCH("Please fill",E9)))</formula>
    </cfRule>
    <cfRule type="cellIs" dxfId="73" priority="10" operator="equal">
      <formula>"Yes"</formula>
    </cfRule>
  </conditionalFormatting>
  <conditionalFormatting sqref="G9:G40">
    <cfRule type="cellIs" dxfId="72" priority="8" operator="equal">
      <formula>"Yes, please fill"</formula>
    </cfRule>
  </conditionalFormatting>
  <conditionalFormatting sqref="H9:H40">
    <cfRule type="cellIs" dxfId="71" priority="1" operator="equal">
      <formula>"Not applicable"</formula>
    </cfRule>
    <cfRule type="containsText" dxfId="70" priority="2" operator="containsText" text="Please fill">
      <formula>NOT(ISERROR(SEARCH("Please fill",H9)))</formula>
    </cfRule>
    <cfRule type="cellIs" dxfId="69" priority="3" operator="equal">
      <formula>"Empty"</formula>
    </cfRule>
    <cfRule type="cellIs" dxfId="68" priority="4" operator="equal">
      <formula>"Ok"</formula>
    </cfRule>
    <cfRule type="cellIs" dxfId="67" priority="6" operator="equal">
      <formula>"Warnings to be reviewed"</formula>
    </cfRule>
    <cfRule type="cellIs" dxfId="66" priority="7" operator="equal">
      <formula>"Errors to be fixed"</formula>
    </cfRule>
  </conditionalFormatting>
  <conditionalFormatting sqref="I9:I41">
    <cfRule type="cellIs" dxfId="65" priority="15" operator="greaterThan">
      <formula>0</formula>
    </cfRule>
  </conditionalFormatting>
  <conditionalFormatting sqref="I9:J40">
    <cfRule type="cellIs" dxfId="64" priority="5" operator="equal">
      <formula>"n/a"</formula>
    </cfRule>
  </conditionalFormatting>
  <conditionalFormatting sqref="J9:J41">
    <cfRule type="cellIs" dxfId="63" priority="14" operator="greaterThan">
      <formula>0</formula>
    </cfRule>
  </conditionalFormatting>
  <pageMargins left="0.7" right="0.7" top="0.75" bottom="0.75" header="0.3" footer="0.3"/>
  <headerFooter>
    <oddHeader>&amp;L&amp;"Aptos"&amp;12&amp;K000000 EBA Regular Use&amp;1#_x000D_</oddHeader>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54AFE-D23E-4D3D-9D61-8ABA400F8BE0}">
  <sheetPr codeName="Sheet15"/>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8" width="27.7109375" customWidth="1"/>
  </cols>
  <sheetData>
    <row r="1" spans="1:100" s="57" customFormat="1" ht="2.25" customHeight="1">
      <c r="A1" s="54"/>
      <c r="B1" s="191"/>
      <c r="C1" s="192"/>
      <c r="D1" s="191"/>
      <c r="E1"/>
      <c r="F1"/>
      <c r="G1"/>
      <c r="H1"/>
      <c r="I1"/>
      <c r="J1"/>
      <c r="K1"/>
      <c r="L1"/>
      <c r="M1"/>
      <c r="N1"/>
      <c r="O1"/>
      <c r="P1"/>
      <c r="Q1"/>
      <c r="R1"/>
      <c r="S1"/>
      <c r="T1"/>
      <c r="U1"/>
      <c r="V1"/>
      <c r="W1"/>
      <c r="X1"/>
      <c r="Y1"/>
      <c r="Z1"/>
    </row>
    <row r="2" spans="1:100" ht="75.75" customHeight="1">
      <c r="A2" s="187" t="s">
        <v>43</v>
      </c>
      <c r="B2" s="58" t="s">
        <v>199</v>
      </c>
      <c r="C2" s="190" t="s">
        <v>200</v>
      </c>
      <c r="D2" s="193"/>
      <c r="E2" s="190"/>
      <c r="F2" s="193"/>
      <c r="G2" s="190"/>
      <c r="H2" s="193"/>
      <c r="I2" s="15"/>
      <c r="J2" s="15"/>
      <c r="K2" s="15"/>
      <c r="L2" s="15"/>
      <c r="M2" s="15"/>
      <c r="N2" s="15"/>
      <c r="O2" s="15"/>
      <c r="P2" s="15"/>
      <c r="Q2" s="15"/>
      <c r="R2" s="15"/>
      <c r="S2" s="15"/>
      <c r="T2" s="15"/>
      <c r="U2" s="15"/>
      <c r="V2" s="15"/>
      <c r="W2" s="15"/>
      <c r="X2" s="15"/>
      <c r="Y2" s="15"/>
    </row>
    <row r="3" spans="1:100" s="60" customFormat="1" ht="76.5" customHeight="1">
      <c r="A3" s="187"/>
      <c r="B3" s="59"/>
    </row>
    <row r="4" spans="1:100" s="57" customFormat="1" ht="24" customHeight="1">
      <c r="A4" s="61" t="s">
        <v>46</v>
      </c>
      <c r="B4" s="184" t="s">
        <v>201</v>
      </c>
      <c r="C4" s="184"/>
      <c r="D4" s="184"/>
      <c r="E4" s="184"/>
      <c r="F4" s="184"/>
      <c r="G4" s="185"/>
      <c r="H4" s="186"/>
      <c r="I4"/>
      <c r="J4"/>
      <c r="K4"/>
      <c r="L4"/>
      <c r="M4"/>
      <c r="N4"/>
      <c r="O4"/>
      <c r="P4"/>
      <c r="Q4"/>
      <c r="R4"/>
      <c r="S4"/>
      <c r="T4"/>
      <c r="U4"/>
      <c r="V4"/>
      <c r="W4"/>
      <c r="X4"/>
      <c r="Y4"/>
      <c r="Z4"/>
    </row>
    <row r="5" spans="1:100" s="15" customFormat="1" ht="78.75" customHeight="1">
      <c r="A5" s="7" t="s">
        <v>50</v>
      </c>
      <c r="B5" s="99" t="s">
        <v>202</v>
      </c>
      <c r="C5" s="99" t="s">
        <v>203</v>
      </c>
      <c r="D5" s="99" t="s">
        <v>204</v>
      </c>
      <c r="E5" s="99" t="s">
        <v>205</v>
      </c>
      <c r="F5" s="99" t="s">
        <v>206</v>
      </c>
      <c r="G5" s="100" t="s">
        <v>207</v>
      </c>
      <c r="H5" s="101" t="s">
        <v>208</v>
      </c>
    </row>
    <row r="6" spans="1:100" ht="21" customHeight="1">
      <c r="A6" s="5" t="s">
        <v>80</v>
      </c>
      <c r="B6" s="69" t="s">
        <v>81</v>
      </c>
      <c r="C6" s="70" t="s">
        <v>82</v>
      </c>
      <c r="D6" s="70" t="s">
        <v>83</v>
      </c>
      <c r="E6" s="70" t="s">
        <v>84</v>
      </c>
      <c r="F6" s="69" t="s">
        <v>85</v>
      </c>
      <c r="G6" s="103" t="s">
        <v>86</v>
      </c>
      <c r="H6" s="72" t="s">
        <v>87</v>
      </c>
    </row>
    <row r="7" spans="1:100" s="16" customFormat="1" ht="15" customHeight="1">
      <c r="A7" s="6" t="s">
        <v>110</v>
      </c>
      <c r="B7" s="74" t="s">
        <v>150</v>
      </c>
      <c r="C7" s="74" t="s">
        <v>150</v>
      </c>
      <c r="D7" s="74" t="s">
        <v>150</v>
      </c>
      <c r="E7" s="74" t="s">
        <v>150</v>
      </c>
      <c r="F7" s="74" t="s">
        <v>150</v>
      </c>
      <c r="G7" s="75" t="s">
        <v>150</v>
      </c>
      <c r="H7" s="76" t="s">
        <v>150</v>
      </c>
      <c r="I7"/>
      <c r="J7"/>
      <c r="K7"/>
      <c r="L7"/>
      <c r="M7"/>
      <c r="N7"/>
      <c r="O7"/>
      <c r="P7"/>
      <c r="Q7"/>
      <c r="R7"/>
      <c r="S7"/>
      <c r="T7"/>
      <c r="U7"/>
      <c r="V7"/>
      <c r="W7"/>
      <c r="X7"/>
      <c r="Y7"/>
      <c r="Z7"/>
    </row>
    <row r="8" spans="1:100" ht="15" customHeight="1">
      <c r="A8" s="6" t="s">
        <v>111</v>
      </c>
      <c r="B8" s="74" t="s">
        <v>151</v>
      </c>
      <c r="C8" s="74" t="s">
        <v>151</v>
      </c>
      <c r="D8" s="74" t="s">
        <v>151</v>
      </c>
      <c r="E8" s="74" t="s">
        <v>151</v>
      </c>
      <c r="F8" s="74" t="s">
        <v>158</v>
      </c>
      <c r="G8" s="75" t="s">
        <v>158</v>
      </c>
      <c r="H8" s="76" t="s">
        <v>158</v>
      </c>
    </row>
    <row r="9" spans="1:100" ht="15" customHeight="1">
      <c r="A9" s="6" t="s">
        <v>117</v>
      </c>
      <c r="B9" s="74"/>
      <c r="C9" s="74"/>
      <c r="D9" s="74"/>
      <c r="E9" s="74"/>
      <c r="F9" s="74"/>
      <c r="G9" s="75"/>
      <c r="H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80" t="str">
        <f>IFERROR(LOOKUP(2, 1/((Validations_ext!$B$2:$B$2004=$B$2)*(Validations_ext!$C$2:$C$2004=$G6)), Validations_ext!$J$2:$J$2004), "OK")</f>
        <v>OK</v>
      </c>
      <c r="H10" s="81" t="str">
        <f>IFERROR(LOOKUP(2, 1/((Validations_ext!$B$2:$B$2004=$B$2)*(Validations_ext!$C$2:$C$2004=$H6)), Validations_ext!$J$2:$J$2004), "OK")</f>
        <v>OK</v>
      </c>
      <c r="I10"/>
      <c r="J10"/>
      <c r="K10"/>
      <c r="L10"/>
      <c r="M10"/>
      <c r="N10"/>
      <c r="O10"/>
      <c r="P10"/>
      <c r="Q10"/>
      <c r="R10"/>
      <c r="S10"/>
      <c r="T10"/>
      <c r="U10"/>
      <c r="V10"/>
      <c r="W10"/>
      <c r="X10"/>
      <c r="Y10"/>
      <c r="Z10"/>
      <c r="AA10"/>
      <c r="AB10"/>
      <c r="AC10"/>
    </row>
    <row r="11" spans="1:100" ht="31.5" customHeight="1">
      <c r="A11" s="4" t="s">
        <v>119</v>
      </c>
      <c r="B11" s="105"/>
      <c r="C11" s="105"/>
      <c r="D11" s="105"/>
      <c r="E11" s="105"/>
      <c r="F11" s="108"/>
      <c r="G11" s="108"/>
      <c r="H11" s="108"/>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CzOPvbwFWdXX9ZA/65jeuL/E//Bh0oOUa0xwatGorymyuuUefQWOtRaekz6TYvZdbIN3Yw2qxeTu6x/JmzpNmg==" saltValue="ibiSaYfl0AJgZKmka/EGsw==" spinCount="100000" sheet="1" objects="1" scenarios="1"/>
  <mergeCells count="4">
    <mergeCell ref="B1:D1"/>
    <mergeCell ref="B4:H4"/>
    <mergeCell ref="C2:H2"/>
    <mergeCell ref="A2:A3"/>
  </mergeCells>
  <phoneticPr fontId="4" type="noConversion"/>
  <conditionalFormatting sqref="B10:H10">
    <cfRule type="expression" dxfId="47" priority="3">
      <formula>ISNUMBER(SEARCH("error",B10))</formula>
    </cfRule>
  </conditionalFormatting>
  <conditionalFormatting sqref="B12:H12">
    <cfRule type="expression" dxfId="46" priority="1">
      <formula>MOD(ROW(),2)=0</formula>
    </cfRule>
  </conditionalFormatting>
  <dataValidations count="2">
    <dataValidation type="whole" allowBlank="1" showDropDown="1" showInputMessage="1" showErrorMessage="1" error="Please enter a valid Integer" sqref="B11:E11" xr:uid="{7228E499-FBCC-4E96-A48D-B15AE1239A5B}">
      <formula1>-999999999999999</formula1>
      <formula2>999999999999999</formula2>
    </dataValidation>
    <dataValidation type="decimal" allowBlank="1" showDropDown="1" showInputMessage="1" showErrorMessage="1" error="Please enter a valid Monetary value" sqref="F11:H11" xr:uid="{89639C4A-50E9-4E54-A75F-70701BBC7C1A}">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C6805-B05A-4ABE-A660-7D934FF4AC60}">
  <sheetPr codeName="Sheet17"/>
  <dimension ref="A1:CV12"/>
  <sheetViews>
    <sheetView zoomScale="88" zoomScaleNormal="88"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12" width="27.7109375" customWidth="1"/>
  </cols>
  <sheetData>
    <row r="1" spans="1:100" s="57" customFormat="1" ht="2.25" customHeight="1">
      <c r="A1" s="54"/>
      <c r="B1" s="191"/>
      <c r="C1" s="192"/>
      <c r="D1" s="191"/>
      <c r="E1"/>
      <c r="F1"/>
      <c r="G1"/>
      <c r="H1"/>
      <c r="I1"/>
      <c r="J1"/>
      <c r="K1"/>
      <c r="L1"/>
      <c r="M1"/>
      <c r="N1"/>
      <c r="O1"/>
      <c r="P1"/>
      <c r="Q1"/>
      <c r="R1"/>
      <c r="S1"/>
      <c r="T1"/>
      <c r="U1"/>
      <c r="V1"/>
      <c r="W1"/>
      <c r="X1"/>
      <c r="Y1"/>
      <c r="Z1"/>
    </row>
    <row r="2" spans="1:100" ht="75.75" customHeight="1">
      <c r="A2" s="187" t="s">
        <v>43</v>
      </c>
      <c r="B2" s="58" t="s">
        <v>209</v>
      </c>
      <c r="C2" s="190" t="s">
        <v>210</v>
      </c>
      <c r="D2" s="193"/>
      <c r="E2" s="190"/>
      <c r="F2" s="193"/>
      <c r="G2" s="190"/>
      <c r="H2" s="193"/>
      <c r="I2" s="190"/>
      <c r="J2" s="193"/>
      <c r="K2" s="96"/>
      <c r="L2" s="96"/>
      <c r="M2" s="15"/>
      <c r="N2" s="15"/>
      <c r="O2" s="15"/>
      <c r="P2" s="15"/>
      <c r="Q2" s="15"/>
      <c r="R2" s="15"/>
      <c r="S2" s="15"/>
      <c r="T2" s="15"/>
      <c r="U2" s="15"/>
      <c r="V2" s="15"/>
      <c r="W2" s="15"/>
      <c r="X2" s="15"/>
      <c r="Y2" s="15"/>
    </row>
    <row r="3" spans="1:100" s="60" customFormat="1" ht="76.5" customHeight="1">
      <c r="A3" s="187"/>
      <c r="B3" s="59"/>
    </row>
    <row r="4" spans="1:100" s="57" customFormat="1" ht="24" customHeight="1">
      <c r="A4" s="61" t="s">
        <v>46</v>
      </c>
      <c r="B4" s="184" t="s">
        <v>211</v>
      </c>
      <c r="C4" s="185"/>
      <c r="D4" s="186"/>
      <c r="E4" s="194" t="s">
        <v>212</v>
      </c>
      <c r="F4" s="184"/>
      <c r="G4" s="185"/>
      <c r="H4" s="186"/>
      <c r="I4" s="194" t="s">
        <v>213</v>
      </c>
      <c r="J4" s="184"/>
      <c r="K4" s="185"/>
      <c r="L4" s="186"/>
      <c r="M4"/>
      <c r="N4"/>
      <c r="O4"/>
      <c r="P4"/>
      <c r="Q4"/>
      <c r="R4"/>
      <c r="S4"/>
      <c r="T4"/>
      <c r="U4"/>
      <c r="V4"/>
      <c r="W4"/>
      <c r="X4"/>
      <c r="Y4"/>
      <c r="Z4"/>
    </row>
    <row r="5" spans="1:100" s="15" customFormat="1" ht="78.75" customHeight="1">
      <c r="A5" s="7" t="s">
        <v>50</v>
      </c>
      <c r="B5" s="99" t="s">
        <v>214</v>
      </c>
      <c r="C5" s="100" t="s">
        <v>215</v>
      </c>
      <c r="D5" s="101" t="s">
        <v>216</v>
      </c>
      <c r="E5" s="102" t="s">
        <v>214</v>
      </c>
      <c r="F5" s="99" t="s">
        <v>215</v>
      </c>
      <c r="G5" s="100" t="s">
        <v>217</v>
      </c>
      <c r="H5" s="101" t="s">
        <v>216</v>
      </c>
      <c r="I5" s="102" t="s">
        <v>214</v>
      </c>
      <c r="J5" s="99" t="s">
        <v>215</v>
      </c>
      <c r="K5" s="100" t="s">
        <v>218</v>
      </c>
      <c r="L5" s="101" t="s">
        <v>219</v>
      </c>
    </row>
    <row r="6" spans="1:100" ht="21" customHeight="1">
      <c r="A6" s="5" t="s">
        <v>80</v>
      </c>
      <c r="B6" s="69" t="s">
        <v>81</v>
      </c>
      <c r="C6" s="103" t="s">
        <v>82</v>
      </c>
      <c r="D6" s="72" t="s">
        <v>83</v>
      </c>
      <c r="E6" s="104" t="s">
        <v>84</v>
      </c>
      <c r="F6" s="70" t="s">
        <v>85</v>
      </c>
      <c r="G6" s="103" t="s">
        <v>86</v>
      </c>
      <c r="H6" s="72" t="s">
        <v>87</v>
      </c>
      <c r="I6" s="104" t="s">
        <v>88</v>
      </c>
      <c r="J6" s="70" t="s">
        <v>89</v>
      </c>
      <c r="K6" s="103" t="s">
        <v>90</v>
      </c>
      <c r="L6" s="72" t="s">
        <v>91</v>
      </c>
      <c r="O6" s="15"/>
      <c r="P6" s="15"/>
      <c r="Q6" s="15"/>
      <c r="R6" s="15"/>
    </row>
    <row r="7" spans="1:100" s="16" customFormat="1" ht="15" customHeight="1">
      <c r="A7" s="6" t="s">
        <v>110</v>
      </c>
      <c r="B7" s="74" t="s">
        <v>149</v>
      </c>
      <c r="C7" s="75" t="s">
        <v>149</v>
      </c>
      <c r="D7" s="76" t="s">
        <v>149</v>
      </c>
      <c r="E7" s="77" t="s">
        <v>149</v>
      </c>
      <c r="F7" s="74" t="s">
        <v>149</v>
      </c>
      <c r="G7" s="75" t="s">
        <v>149</v>
      </c>
      <c r="H7" s="76" t="s">
        <v>149</v>
      </c>
      <c r="I7" s="77" t="s">
        <v>149</v>
      </c>
      <c r="J7" s="74" t="s">
        <v>149</v>
      </c>
      <c r="K7" s="75" t="s">
        <v>149</v>
      </c>
      <c r="L7" s="76" t="s">
        <v>149</v>
      </c>
      <c r="O7" s="15"/>
      <c r="P7" s="15"/>
      <c r="Q7" s="15"/>
      <c r="R7" s="15"/>
      <c r="S7"/>
      <c r="T7"/>
      <c r="U7"/>
      <c r="V7"/>
      <c r="W7"/>
      <c r="X7"/>
      <c r="Y7"/>
      <c r="Z7"/>
    </row>
    <row r="8" spans="1:100" ht="15" customHeight="1">
      <c r="A8" s="6" t="s">
        <v>111</v>
      </c>
      <c r="B8" s="74" t="s">
        <v>151</v>
      </c>
      <c r="C8" s="75" t="s">
        <v>151</v>
      </c>
      <c r="D8" s="76" t="s">
        <v>151</v>
      </c>
      <c r="E8" s="77" t="s">
        <v>151</v>
      </c>
      <c r="F8" s="74" t="s">
        <v>151</v>
      </c>
      <c r="G8" s="75" t="s">
        <v>198</v>
      </c>
      <c r="H8" s="76" t="s">
        <v>151</v>
      </c>
      <c r="I8" s="77" t="s">
        <v>151</v>
      </c>
      <c r="J8" s="74" t="s">
        <v>151</v>
      </c>
      <c r="K8" s="75" t="s">
        <v>158</v>
      </c>
      <c r="L8" s="76" t="s">
        <v>151</v>
      </c>
      <c r="O8" s="15"/>
      <c r="P8" s="15"/>
      <c r="Q8" s="15"/>
      <c r="R8" s="15"/>
    </row>
    <row r="9" spans="1:100" ht="15" customHeight="1">
      <c r="A9" s="6" t="s">
        <v>117</v>
      </c>
      <c r="B9" s="74"/>
      <c r="C9" s="75"/>
      <c r="D9" s="76"/>
      <c r="E9" s="77"/>
      <c r="F9" s="74"/>
      <c r="G9" s="75"/>
      <c r="H9" s="76"/>
      <c r="I9" s="77"/>
      <c r="J9" s="74"/>
      <c r="K9" s="75"/>
      <c r="L9" s="76"/>
      <c r="O9" s="15"/>
      <c r="P9" s="15"/>
      <c r="Q9" s="15"/>
      <c r="R9" s="15"/>
    </row>
    <row r="10" spans="1:100" s="15" customFormat="1" ht="98.25" customHeight="1">
      <c r="A10" s="6" t="s">
        <v>118</v>
      </c>
      <c r="B10" s="111" t="str">
        <f>IFERROR(LOOKUP(2, 1/((Validations_ext!$B$2:$B$2004=$B$2)*(Validations_ext!$C$2:$C$2004=$B6)), Validations_ext!$J$2:$J$2004), "OK")</f>
        <v>OK</v>
      </c>
      <c r="C10" s="112" t="str">
        <f>IFERROR(LOOKUP(2, 1/((Validations_ext!$B$2:$B$2004=$B$2)*(Validations_ext!$C$2:$C$2004=$C6)), Validations_ext!$J$2:$J$2004), "OK")</f>
        <v>OK</v>
      </c>
      <c r="D10" s="113" t="str">
        <f>IFERROR(LOOKUP(2, 1/((Validations_ext!$B$2:$B$2004=$B$2)*(Validations_ext!$C$2:$C$2004=$D6)), Validations_ext!$J$2:$J$2004), "OK")</f>
        <v>OK</v>
      </c>
      <c r="E10" s="114" t="str">
        <f>IFERROR(LOOKUP(2, 1/((Validations_ext!$B$2:$B$2004=$B$2)*(Validations_ext!$C$2:$C$2004=$E6)), Validations_ext!$J$2:$J$2004), "OK")</f>
        <v>OK</v>
      </c>
      <c r="F10" s="111" t="str">
        <f>IFERROR(LOOKUP(2, 1/((Validations_ext!$B$2:$B$2004=$B$2)*(Validations_ext!$C$2:$C$2004=$F6)), Validations_ext!$J$2:$J$2004), "OK")</f>
        <v>OK</v>
      </c>
      <c r="G10" s="80" t="str">
        <f>IFERROR(LOOKUP(2, 1/((Validations_ext!$B$2:$B$2004=$B$2)*(Validations_ext!$C$2:$C$2004=$G6)), Validations_ext!$J$2:$J$2004), "OK")</f>
        <v>OK</v>
      </c>
      <c r="H10" s="113" t="str">
        <f>IFERROR(LOOKUP(2, 1/((Validations_ext!$B$2:$B$2004=$B$2)*(Validations_ext!$C$2:$C$2004=$H6)), Validations_ext!$J$2:$J$2004), "OK")</f>
        <v>OK</v>
      </c>
      <c r="I10" s="114" t="str">
        <f>IFERROR(LOOKUP(2, 1/((Validations_ext!$B$2:$B$2004=$B$2)*(Validations_ext!$C$2:$C$2004=$I6)), Validations_ext!$J$2:$J$2004), "OK")</f>
        <v>OK</v>
      </c>
      <c r="J10" s="111" t="str">
        <f>IFERROR(LOOKUP(2, 1/((Validations_ext!$B$2:$B$2004=$B$2)*(Validations_ext!$C$2:$C$2004=$J6)), Validations_ext!$J$2:$J$2004), "OK")</f>
        <v>OK</v>
      </c>
      <c r="K10" s="112" t="str">
        <f>IFERROR(LOOKUP(2, 1/((Validations_ext!$B$2:$B$2004=$B$2)*(Validations_ext!$C$2:$C$2004=$K6)), Validations_ext!$J$2:$J$2004), "OK")</f>
        <v>OK</v>
      </c>
      <c r="L10" s="113" t="str">
        <f>IFERROR(LOOKUP(2, 1/((Validations_ext!$B$2:$B$2004=$B$2)*(Validations_ext!$C$2:$C$2004=$L6)), Validations_ext!$J$2:$J$2004), "OK")</f>
        <v>OK</v>
      </c>
      <c r="M10"/>
      <c r="N10"/>
      <c r="O10"/>
      <c r="P10"/>
      <c r="Q10"/>
      <c r="R10"/>
      <c r="S10"/>
      <c r="T10"/>
      <c r="U10"/>
      <c r="V10"/>
      <c r="W10"/>
      <c r="X10"/>
      <c r="Y10"/>
      <c r="Z10"/>
      <c r="AA10"/>
      <c r="AB10"/>
      <c r="AC10"/>
    </row>
    <row r="11" spans="1:100" ht="31.5" customHeight="1">
      <c r="A11" s="4" t="s">
        <v>119</v>
      </c>
      <c r="B11" s="105"/>
      <c r="C11" s="105"/>
      <c r="D11" s="105"/>
      <c r="E11" s="105"/>
      <c r="F11" s="105"/>
      <c r="G11" s="108"/>
      <c r="H11" s="105"/>
      <c r="I11" s="105"/>
      <c r="J11" s="105"/>
      <c r="K11" s="108"/>
      <c r="L11" s="105"/>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K4zcUExD00pKV6X1HhAQyHGiXbNleXrbMMPixzkbRRc8/TQuRDfo0aP8YrWR2cCn2Bdzyzian6rzFbww41CwHw==" saltValue="mZVw0/Rkkw2225VJJ97fIQ==" spinCount="100000" sheet="1" objects="1" scenarios="1"/>
  <mergeCells count="6">
    <mergeCell ref="A2:A3"/>
    <mergeCell ref="B1:D1"/>
    <mergeCell ref="B4:D4"/>
    <mergeCell ref="E4:H4"/>
    <mergeCell ref="I4:L4"/>
    <mergeCell ref="C2:J2"/>
  </mergeCells>
  <conditionalFormatting sqref="B10:L10">
    <cfRule type="expression" dxfId="45" priority="2">
      <formula>ISNUMBER(SEARCH("error",B10))</formula>
    </cfRule>
  </conditionalFormatting>
  <conditionalFormatting sqref="B12:L12">
    <cfRule type="expression" dxfId="44" priority="1">
      <formula>MOD(ROW(),2)=0</formula>
    </cfRule>
  </conditionalFormatting>
  <dataValidations count="3">
    <dataValidation type="whole" allowBlank="1" showDropDown="1" showInputMessage="1" showErrorMessage="1" error="Please enter a valid Integer" sqref="L11 H11:J11 B11:F11" xr:uid="{FA02DCDC-E75B-4190-9324-A9BE45ACAF14}">
      <formula1>-999999999999999</formula1>
      <formula2>999999999999999</formula2>
    </dataValidation>
    <dataValidation type="decimal" allowBlank="1" showDropDown="1" showInputMessage="1" showErrorMessage="1" error="Please enter the % as a decimal number between 0 and 1." sqref="G11" xr:uid="{93CA19B6-E5D0-4F9C-B660-D93494F87C51}">
      <formula1>0</formula1>
      <formula2>1</formula2>
    </dataValidation>
    <dataValidation type="decimal" allowBlank="1" showDropDown="1" showInputMessage="1" showErrorMessage="1" error="Please enter a valid Monetary value" sqref="K11" xr:uid="{78927A16-51A8-40E1-8C9E-91208402E6B2}">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344D0-FC64-44BD-A617-04483D99F4D9}">
  <sheetPr codeName="Sheet18"/>
  <dimension ref="A1:CV20"/>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7" width="27.7109375" customWidth="1"/>
  </cols>
  <sheetData>
    <row r="1" spans="1:100" s="57" customFormat="1" ht="2.25" customHeight="1">
      <c r="A1" s="54"/>
      <c r="B1" s="191"/>
      <c r="C1" s="192"/>
      <c r="D1" s="191"/>
      <c r="E1"/>
      <c r="F1"/>
      <c r="G1"/>
      <c r="H1"/>
      <c r="I1"/>
      <c r="J1"/>
      <c r="K1"/>
      <c r="L1"/>
      <c r="M1"/>
      <c r="N1"/>
      <c r="O1"/>
      <c r="P1"/>
      <c r="Q1"/>
      <c r="R1"/>
      <c r="S1"/>
      <c r="T1"/>
      <c r="U1"/>
      <c r="V1"/>
      <c r="W1"/>
      <c r="X1"/>
      <c r="Y1"/>
      <c r="Z1"/>
    </row>
    <row r="2" spans="1:100" ht="75.75" customHeight="1">
      <c r="A2" s="187" t="s">
        <v>43</v>
      </c>
      <c r="B2" s="58" t="s">
        <v>220</v>
      </c>
      <c r="C2" s="190" t="s">
        <v>221</v>
      </c>
      <c r="D2" s="193"/>
      <c r="E2" s="190"/>
      <c r="F2" s="193"/>
      <c r="G2" s="190"/>
      <c r="H2" s="15"/>
      <c r="I2" s="15"/>
      <c r="J2" s="15"/>
      <c r="K2" s="15"/>
      <c r="L2" s="15"/>
      <c r="M2" s="15"/>
      <c r="N2" s="15"/>
      <c r="O2" s="15"/>
      <c r="P2" s="15"/>
      <c r="Q2" s="15"/>
      <c r="R2" s="15"/>
      <c r="S2" s="15"/>
      <c r="T2" s="15"/>
      <c r="U2" s="15"/>
      <c r="V2" s="15"/>
      <c r="W2" s="15"/>
      <c r="X2" s="15"/>
      <c r="Y2" s="15"/>
    </row>
    <row r="3" spans="1:100" s="60" customFormat="1" ht="76.5" customHeight="1">
      <c r="A3" s="187"/>
      <c r="B3" s="59"/>
    </row>
    <row r="4" spans="1:100" s="57" customFormat="1" ht="24" customHeight="1">
      <c r="A4" s="61" t="s">
        <v>46</v>
      </c>
      <c r="B4" s="195" t="s">
        <v>67</v>
      </c>
      <c r="C4" s="195"/>
      <c r="D4" s="195"/>
      <c r="E4" s="195"/>
      <c r="F4" s="196"/>
      <c r="G4" s="197"/>
      <c r="H4" s="15"/>
      <c r="I4" s="15"/>
      <c r="J4" s="15"/>
      <c r="K4" s="15"/>
      <c r="L4" s="15"/>
      <c r="M4"/>
      <c r="N4"/>
      <c r="O4"/>
      <c r="P4"/>
      <c r="Q4"/>
      <c r="R4"/>
    </row>
    <row r="5" spans="1:100" s="15" customFormat="1" ht="78.75" customHeight="1">
      <c r="A5" s="7" t="s">
        <v>50</v>
      </c>
      <c r="B5" s="99" t="s">
        <v>222</v>
      </c>
      <c r="C5" s="99" t="s">
        <v>223</v>
      </c>
      <c r="D5" s="99" t="s">
        <v>224</v>
      </c>
      <c r="E5" s="99" t="s">
        <v>225</v>
      </c>
      <c r="F5" s="100" t="s">
        <v>226</v>
      </c>
      <c r="G5" s="101" t="s">
        <v>227</v>
      </c>
    </row>
    <row r="6" spans="1:100" ht="21" customHeight="1">
      <c r="A6" s="5" t="s">
        <v>80</v>
      </c>
      <c r="B6" s="69" t="s">
        <v>81</v>
      </c>
      <c r="C6" s="70" t="s">
        <v>82</v>
      </c>
      <c r="D6" s="70" t="s">
        <v>83</v>
      </c>
      <c r="E6" s="70" t="s">
        <v>84</v>
      </c>
      <c r="F6" s="103" t="s">
        <v>85</v>
      </c>
      <c r="G6" s="115" t="s">
        <v>86</v>
      </c>
      <c r="H6" s="15"/>
      <c r="I6" s="15"/>
      <c r="J6" s="15"/>
      <c r="K6" s="15"/>
      <c r="L6" s="15"/>
    </row>
    <row r="7" spans="1:100" s="16" customFormat="1" ht="15" customHeight="1">
      <c r="A7" s="6" t="s">
        <v>110</v>
      </c>
      <c r="B7" s="74" t="s">
        <v>150</v>
      </c>
      <c r="C7" s="74" t="s">
        <v>150</v>
      </c>
      <c r="D7" s="74" t="s">
        <v>150</v>
      </c>
      <c r="E7" s="74" t="s">
        <v>150</v>
      </c>
      <c r="F7" s="75" t="s">
        <v>150</v>
      </c>
      <c r="G7" s="76" t="s">
        <v>150</v>
      </c>
      <c r="H7" s="15"/>
      <c r="I7" s="15"/>
      <c r="J7" s="15"/>
      <c r="K7" s="15"/>
      <c r="L7" s="15"/>
      <c r="M7"/>
      <c r="N7"/>
      <c r="O7"/>
      <c r="P7"/>
      <c r="Q7"/>
      <c r="R7"/>
    </row>
    <row r="8" spans="1:100" ht="15" customHeight="1">
      <c r="A8" s="6" t="s">
        <v>111</v>
      </c>
      <c r="B8" s="74" t="s">
        <v>151</v>
      </c>
      <c r="C8" s="74" t="s">
        <v>151</v>
      </c>
      <c r="D8" s="74" t="s">
        <v>158</v>
      </c>
      <c r="E8" s="74" t="s">
        <v>158</v>
      </c>
      <c r="F8" s="75" t="s">
        <v>151</v>
      </c>
      <c r="G8" s="76" t="s">
        <v>151</v>
      </c>
      <c r="H8" s="15"/>
      <c r="I8" s="15"/>
      <c r="J8" s="15"/>
      <c r="K8" s="15"/>
      <c r="L8" s="15"/>
    </row>
    <row r="9" spans="1:100" ht="15" customHeight="1">
      <c r="A9" s="6" t="s">
        <v>117</v>
      </c>
      <c r="B9" s="74"/>
      <c r="C9" s="74"/>
      <c r="D9" s="74"/>
      <c r="E9" s="74"/>
      <c r="F9" s="75"/>
      <c r="G9" s="76"/>
      <c r="H9" s="15"/>
      <c r="I9" s="15"/>
      <c r="J9" s="15"/>
      <c r="K9" s="15"/>
      <c r="L9" s="15"/>
    </row>
    <row r="10" spans="1:100" s="15" customFormat="1" ht="98.25" customHeight="1">
      <c r="A10" s="6" t="s">
        <v>118</v>
      </c>
      <c r="B10" s="111" t="str">
        <f>IFERROR(LOOKUP(2, 1/((Validations_ext!$B$2:$B$2004=$B$2)*(Validations_ext!$C$2:$C$2004=$B6)), Validations_ext!$J$2:$J$2004), "OK")</f>
        <v>OK</v>
      </c>
      <c r="C10" s="111" t="str">
        <f>IFERROR(LOOKUP(2, 1/((Validations_ext!$B$2:$B$2004=$B$2)*(Validations_ext!$C$2:$C$2004=$C6)), Validations_ext!$J$2:$J$2004), "OK")</f>
        <v>OK</v>
      </c>
      <c r="D10" s="111" t="str">
        <f>IFERROR(LOOKUP(2, 1/((Validations_ext!$B$2:$B$2004=$B$2)*(Validations_ext!$C$2:$C$2004=$D6)), Validations_ext!$J$2:$J$2004), "OK")</f>
        <v>OK</v>
      </c>
      <c r="E10" s="111" t="str">
        <f>IFERROR(LOOKUP(2, 1/((Validations_ext!$B$2:$B$2004=$B$2)*(Validations_ext!$C$2:$C$2004=$E6)), Validations_ext!$J$2:$J$2004), "OK")</f>
        <v>OK</v>
      </c>
      <c r="F10" s="112" t="str">
        <f>IFERROR(LOOKUP(2, 1/((Validations_ext!$B$2:$B$2004=$B$2)*(Validations_ext!$C$2:$C$2004=$F6)), Validations_ext!$J$2:$J$2004), "OK")</f>
        <v>OK</v>
      </c>
      <c r="G10" s="113" t="str">
        <f>IFERROR(LOOKUP(2, 1/((Validations_ext!$B$2:$B$2004=$B$2)*(Validations_ext!$C$2:$C$2004=$G6)), Validations_ext!$J$2:$J$2004), "OK")</f>
        <v>OK</v>
      </c>
      <c r="M10"/>
      <c r="N10"/>
      <c r="O10"/>
      <c r="P10"/>
      <c r="Q10"/>
      <c r="R10"/>
      <c r="S10"/>
      <c r="T10"/>
      <c r="U10"/>
    </row>
    <row r="11" spans="1:100" ht="31.5" customHeight="1">
      <c r="A11" s="4" t="s">
        <v>119</v>
      </c>
      <c r="B11" s="105"/>
      <c r="C11" s="105"/>
      <c r="D11" s="108"/>
      <c r="E11" s="108"/>
      <c r="F11" s="105"/>
      <c r="G11" s="105"/>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9" spans="2:2">
      <c r="B19" s="116"/>
    </row>
    <row r="20" spans="2:2">
      <c r="B20" s="117"/>
    </row>
  </sheetData>
  <sheetProtection algorithmName="SHA-512" hashValue="iTod0ghm8RSFdAtLSUSzAssAOZv40FIxdZT12XfYUydK+n88emf5CGvNoYrnnG0LQwYZH49t252ZaI4S34Udgg==" saltValue="7q3fVPvMPiXN5S+GOYRmMw==" spinCount="100000" sheet="1" objects="1" scenarios="1"/>
  <mergeCells count="4">
    <mergeCell ref="B4:G4"/>
    <mergeCell ref="B1:D1"/>
    <mergeCell ref="C2:G2"/>
    <mergeCell ref="A2:A3"/>
  </mergeCells>
  <conditionalFormatting sqref="B10:G10">
    <cfRule type="expression" dxfId="43" priority="3">
      <formula>ISNUMBER(SEARCH("error",B10))</formula>
    </cfRule>
  </conditionalFormatting>
  <conditionalFormatting sqref="B12:G12">
    <cfRule type="expression" dxfId="42" priority="1">
      <formula>MOD(ROW(),2)=0</formula>
    </cfRule>
  </conditionalFormatting>
  <dataValidations count="2">
    <dataValidation type="whole" allowBlank="1" showDropDown="1" showInputMessage="1" showErrorMessage="1" error="Please enter a valid Integer" sqref="F11:G11 B11:C11" xr:uid="{4163A097-3856-4E81-99F8-268843C14C8D}">
      <formula1>-999999999999999</formula1>
      <formula2>999999999999999</formula2>
    </dataValidation>
    <dataValidation type="decimal" allowBlank="1" showDropDown="1" showInputMessage="1" showErrorMessage="1" error="Please enter a valid Monetary value" sqref="D11:E11" xr:uid="{D48F193B-A7B2-447A-A9D6-66A1E6FC8138}">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C446-B617-45DA-A36C-900F648ED098}">
  <sheetPr codeName="Sheet19"/>
  <dimension ref="A1:CV12"/>
  <sheetViews>
    <sheetView zoomScale="90" zoomScaleNormal="90" workbookViewId="0">
      <selection activeCell="B11" sqref="B11"/>
    </sheetView>
  </sheetViews>
  <sheetFormatPr defaultColWidth="15.42578125" defaultRowHeight="15"/>
  <cols>
    <col min="1" max="1" width="28.5703125" style="57" customWidth="1"/>
    <col min="2" max="2" width="29" bestFit="1" customWidth="1"/>
    <col min="3" max="3" width="27.7109375" style="85" customWidth="1"/>
    <col min="4" max="4" width="23.85546875" style="85" customWidth="1"/>
    <col min="5" max="5" width="23.85546875" customWidth="1"/>
    <col min="6" max="7" width="15.42578125" customWidth="1"/>
  </cols>
  <sheetData>
    <row r="1" spans="1:100" s="57" customFormat="1" ht="2.25" customHeight="1">
      <c r="A1" s="54"/>
      <c r="B1" s="198"/>
      <c r="C1" s="199"/>
      <c r="D1" s="15"/>
      <c r="E1" s="15"/>
      <c r="F1" s="15"/>
      <c r="G1" s="15"/>
      <c r="H1"/>
      <c r="I1"/>
      <c r="J1"/>
      <c r="K1"/>
      <c r="L1"/>
      <c r="M1"/>
      <c r="N1"/>
      <c r="O1"/>
      <c r="P1"/>
      <c r="Q1"/>
      <c r="R1"/>
      <c r="S1"/>
      <c r="T1"/>
      <c r="U1"/>
      <c r="V1"/>
      <c r="W1"/>
      <c r="X1"/>
      <c r="Y1"/>
      <c r="Z1"/>
    </row>
    <row r="2" spans="1:100" ht="75.75" customHeight="1">
      <c r="A2" s="187" t="s">
        <v>43</v>
      </c>
      <c r="B2" s="58" t="s">
        <v>228</v>
      </c>
      <c r="C2" s="190" t="s">
        <v>229</v>
      </c>
      <c r="D2" s="193"/>
      <c r="E2" s="190"/>
      <c r="G2" s="15"/>
      <c r="H2" s="15"/>
      <c r="I2" s="15"/>
      <c r="J2" s="15"/>
      <c r="K2" s="15"/>
      <c r="L2" s="15"/>
      <c r="M2" s="15"/>
      <c r="N2" s="15"/>
      <c r="O2" s="15"/>
      <c r="P2" s="15"/>
      <c r="Q2" s="15"/>
      <c r="R2" s="15"/>
      <c r="S2" s="15"/>
      <c r="T2" s="15"/>
      <c r="U2" s="15"/>
      <c r="V2" s="15"/>
      <c r="W2" s="15"/>
      <c r="X2" s="15"/>
      <c r="Y2" s="15"/>
    </row>
    <row r="3" spans="1:100" s="60" customFormat="1" ht="76.5" customHeight="1">
      <c r="A3" s="187"/>
      <c r="B3" s="59"/>
    </row>
    <row r="4" spans="1:100" s="57" customFormat="1" ht="24" customHeight="1">
      <c r="A4" s="61" t="s">
        <v>46</v>
      </c>
      <c r="B4" s="196" t="s">
        <v>68</v>
      </c>
      <c r="C4" s="197"/>
      <c r="D4" s="15"/>
      <c r="E4" s="15"/>
      <c r="F4" s="15"/>
      <c r="G4" s="15"/>
      <c r="H4" s="15"/>
      <c r="I4"/>
      <c r="J4"/>
      <c r="K4"/>
      <c r="L4"/>
      <c r="M4"/>
      <c r="N4"/>
    </row>
    <row r="5" spans="1:100" s="15" customFormat="1" ht="78.75" customHeight="1">
      <c r="A5" s="7" t="s">
        <v>50</v>
      </c>
      <c r="B5" s="100" t="s">
        <v>230</v>
      </c>
      <c r="C5" s="101" t="s">
        <v>231</v>
      </c>
      <c r="D5" s="118"/>
      <c r="E5" s="119"/>
    </row>
    <row r="6" spans="1:100" ht="21" customHeight="1">
      <c r="A6" s="5" t="s">
        <v>80</v>
      </c>
      <c r="B6" s="71" t="s">
        <v>81</v>
      </c>
      <c r="C6" s="72" t="s">
        <v>82</v>
      </c>
      <c r="D6" s="120"/>
      <c r="E6" s="121"/>
      <c r="F6" s="15"/>
      <c r="G6" s="15"/>
      <c r="H6" s="15"/>
    </row>
    <row r="7" spans="1:100" s="16" customFormat="1" ht="15" customHeight="1">
      <c r="A7" s="6" t="s">
        <v>110</v>
      </c>
      <c r="B7" s="75" t="s">
        <v>149</v>
      </c>
      <c r="C7" s="76" t="s">
        <v>149</v>
      </c>
      <c r="D7" s="15"/>
      <c r="E7" s="15"/>
      <c r="F7" s="15"/>
      <c r="G7" s="15"/>
      <c r="H7" s="15"/>
      <c r="I7"/>
      <c r="J7"/>
      <c r="K7"/>
      <c r="L7"/>
      <c r="M7"/>
      <c r="N7"/>
    </row>
    <row r="8" spans="1:100" ht="15" customHeight="1">
      <c r="A8" s="6" t="s">
        <v>111</v>
      </c>
      <c r="B8" s="75" t="s">
        <v>151</v>
      </c>
      <c r="C8" s="76" t="s">
        <v>151</v>
      </c>
      <c r="D8" s="15"/>
      <c r="E8" s="15"/>
      <c r="F8" s="15"/>
      <c r="G8" s="15"/>
      <c r="H8" s="15"/>
    </row>
    <row r="9" spans="1:100" ht="15" customHeight="1">
      <c r="A9" s="6" t="s">
        <v>117</v>
      </c>
      <c r="B9" s="75"/>
      <c r="C9" s="76"/>
      <c r="D9" s="15"/>
      <c r="E9" s="15"/>
      <c r="F9" s="15"/>
      <c r="G9" s="15"/>
      <c r="H9" s="15"/>
    </row>
    <row r="10" spans="1:100" s="15" customFormat="1" ht="98.25" customHeight="1">
      <c r="A10" s="6" t="s">
        <v>118</v>
      </c>
      <c r="B10" s="112" t="str">
        <f>IFERROR(LOOKUP(2, 1/((Validations_ext!$B$2:$B$2004=$B$2)*(Validations_ext!$C$2:$C$2004=$B6)), Validations_ext!$J$2:$J$2004), "OK")</f>
        <v>OK</v>
      </c>
      <c r="C10" s="113" t="str">
        <f>IFERROR(LOOKUP(2, 1/((Validations_ext!$B$2:$B$2004=$B$2)*(Validations_ext!$C$2:$C$2004=$C6)), Validations_ext!$J$2:$J$2004), "OK")</f>
        <v>OK</v>
      </c>
      <c r="I10"/>
      <c r="J10"/>
      <c r="K10"/>
      <c r="L10"/>
      <c r="M10"/>
      <c r="N10"/>
      <c r="O10"/>
      <c r="P10"/>
      <c r="Q10"/>
    </row>
    <row r="11" spans="1:100" ht="31.5" customHeight="1">
      <c r="A11" s="4" t="s">
        <v>119</v>
      </c>
      <c r="B11" s="105"/>
      <c r="C11" s="105"/>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wIDA6MkFm+/VSYTEUS0MNSxr2k86DZ+ec5lRZqJTiMqnWWhDB0IL+b/RJPva36R5nO+CDEiILkCGbLnE/c/u7w==" saltValue="xeaGLF3JOklG+j1A1OX9NA==" spinCount="100000" sheet="1" objects="1" scenarios="1"/>
  <mergeCells count="4">
    <mergeCell ref="B4:C4"/>
    <mergeCell ref="B1:C1"/>
    <mergeCell ref="C2:E2"/>
    <mergeCell ref="A2:A3"/>
  </mergeCells>
  <conditionalFormatting sqref="B10:C10">
    <cfRule type="expression" dxfId="41" priority="2">
      <formula>ISNUMBER(SEARCH("error",B10))</formula>
    </cfRule>
  </conditionalFormatting>
  <conditionalFormatting sqref="B12:C12">
    <cfRule type="expression" dxfId="40" priority="1">
      <formula>MOD(ROW(),2)=0</formula>
    </cfRule>
  </conditionalFormatting>
  <dataValidations count="1">
    <dataValidation type="whole" allowBlank="1" showDropDown="1" showInputMessage="1" showErrorMessage="1" error="Please enter a valid Integer" sqref="B11:C11" xr:uid="{D7B92CD4-AA11-4946-A76A-9F2CEEA1AD7A}">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2C55-A445-438C-B2D9-246B9640CFA1}">
  <sheetPr codeName="Sheet20"/>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7" width="27.7109375" customWidth="1"/>
  </cols>
  <sheetData>
    <row r="1" spans="1:100" s="57" customFormat="1" ht="2.25" customHeight="1">
      <c r="A1" s="54"/>
      <c r="B1" s="191"/>
      <c r="C1" s="192"/>
      <c r="D1" s="191"/>
      <c r="E1"/>
      <c r="F1"/>
      <c r="G1"/>
      <c r="H1"/>
      <c r="I1"/>
      <c r="J1"/>
      <c r="K1"/>
      <c r="L1"/>
      <c r="M1"/>
      <c r="N1"/>
      <c r="O1"/>
      <c r="P1"/>
      <c r="Q1"/>
      <c r="R1"/>
      <c r="S1"/>
      <c r="T1"/>
      <c r="U1"/>
      <c r="V1"/>
      <c r="W1"/>
      <c r="X1"/>
      <c r="Y1"/>
      <c r="Z1"/>
    </row>
    <row r="2" spans="1:100" ht="75.75" customHeight="1">
      <c r="A2" s="187" t="s">
        <v>43</v>
      </c>
      <c r="B2" s="58" t="s">
        <v>232</v>
      </c>
      <c r="C2" s="190" t="s">
        <v>233</v>
      </c>
      <c r="D2" s="193"/>
      <c r="E2" s="190"/>
      <c r="F2" s="193"/>
      <c r="G2" s="190"/>
      <c r="H2" s="15"/>
      <c r="I2" s="15"/>
      <c r="J2" s="15"/>
      <c r="K2" s="15"/>
      <c r="L2" s="15"/>
      <c r="M2" s="15"/>
      <c r="N2" s="15"/>
      <c r="O2" s="15"/>
      <c r="P2" s="15"/>
      <c r="Q2" s="15"/>
      <c r="R2" s="15"/>
      <c r="S2" s="15"/>
      <c r="T2" s="15"/>
      <c r="U2" s="15"/>
      <c r="V2" s="15"/>
      <c r="W2" s="15"/>
      <c r="X2" s="15"/>
      <c r="Y2" s="15"/>
    </row>
    <row r="3" spans="1:100" s="60" customFormat="1" ht="76.5" customHeight="1">
      <c r="A3" s="187"/>
      <c r="B3" s="59"/>
    </row>
    <row r="4" spans="1:100" s="57" customFormat="1" ht="24" customHeight="1">
      <c r="A4" s="61" t="s">
        <v>46</v>
      </c>
      <c r="B4" s="195" t="s">
        <v>69</v>
      </c>
      <c r="C4" s="195"/>
      <c r="D4" s="195"/>
      <c r="E4" s="195"/>
      <c r="F4" s="196"/>
      <c r="G4" s="197"/>
      <c r="H4" s="15"/>
      <c r="I4" s="15"/>
      <c r="J4" s="15"/>
      <c r="K4" s="15"/>
      <c r="L4" s="15"/>
      <c r="M4"/>
      <c r="N4"/>
      <c r="O4"/>
      <c r="P4"/>
      <c r="Q4"/>
      <c r="R4"/>
    </row>
    <row r="5" spans="1:100" s="15" customFormat="1" ht="78.75" customHeight="1">
      <c r="A5" s="7" t="s">
        <v>50</v>
      </c>
      <c r="B5" s="99" t="s">
        <v>234</v>
      </c>
      <c r="C5" s="99" t="s">
        <v>235</v>
      </c>
      <c r="D5" s="99" t="s">
        <v>236</v>
      </c>
      <c r="E5" s="99" t="s">
        <v>237</v>
      </c>
      <c r="F5" s="100" t="s">
        <v>238</v>
      </c>
      <c r="G5" s="101" t="s">
        <v>239</v>
      </c>
    </row>
    <row r="6" spans="1:100" ht="21" customHeight="1">
      <c r="A6" s="5" t="s">
        <v>80</v>
      </c>
      <c r="B6" s="69" t="s">
        <v>81</v>
      </c>
      <c r="C6" s="70" t="s">
        <v>82</v>
      </c>
      <c r="D6" s="70" t="s">
        <v>83</v>
      </c>
      <c r="E6" s="70" t="s">
        <v>84</v>
      </c>
      <c r="F6" s="103" t="s">
        <v>85</v>
      </c>
      <c r="G6" s="115" t="s">
        <v>86</v>
      </c>
      <c r="H6" s="15"/>
      <c r="I6" s="15"/>
      <c r="J6" s="15"/>
      <c r="K6" s="15"/>
      <c r="L6" s="15"/>
    </row>
    <row r="7" spans="1:100" s="16" customFormat="1" ht="15" customHeight="1">
      <c r="A7" s="6" t="s">
        <v>110</v>
      </c>
      <c r="B7" s="74" t="s">
        <v>150</v>
      </c>
      <c r="C7" s="74" t="s">
        <v>150</v>
      </c>
      <c r="D7" s="74" t="s">
        <v>150</v>
      </c>
      <c r="E7" s="74" t="s">
        <v>150</v>
      </c>
      <c r="F7" s="75" t="s">
        <v>150</v>
      </c>
      <c r="G7" s="76" t="s">
        <v>150</v>
      </c>
      <c r="H7" s="15"/>
      <c r="I7" s="15"/>
      <c r="J7" s="15"/>
      <c r="K7" s="15"/>
      <c r="L7" s="15"/>
      <c r="M7"/>
      <c r="N7"/>
      <c r="O7"/>
      <c r="P7"/>
      <c r="Q7"/>
      <c r="R7"/>
    </row>
    <row r="8" spans="1:100" ht="15" customHeight="1">
      <c r="A8" s="6" t="s">
        <v>111</v>
      </c>
      <c r="B8" s="74" t="s">
        <v>158</v>
      </c>
      <c r="C8" s="74" t="s">
        <v>158</v>
      </c>
      <c r="D8" s="74" t="s">
        <v>158</v>
      </c>
      <c r="E8" s="74" t="s">
        <v>158</v>
      </c>
      <c r="F8" s="75" t="s">
        <v>158</v>
      </c>
      <c r="G8" s="76" t="s">
        <v>158</v>
      </c>
      <c r="H8" s="15"/>
      <c r="I8" s="15"/>
      <c r="J8" s="15"/>
      <c r="K8" s="15"/>
      <c r="L8" s="15"/>
    </row>
    <row r="9" spans="1:100" ht="15" customHeight="1">
      <c r="A9" s="6" t="s">
        <v>117</v>
      </c>
      <c r="B9" s="74"/>
      <c r="C9" s="74"/>
      <c r="D9" s="74"/>
      <c r="E9" s="74"/>
      <c r="F9" s="75"/>
      <c r="G9" s="76"/>
      <c r="H9" s="15"/>
      <c r="I9" s="15"/>
      <c r="J9" s="15"/>
      <c r="K9" s="15"/>
      <c r="L9" s="15"/>
    </row>
    <row r="10" spans="1:100" s="15" customFormat="1" ht="98.25" customHeight="1">
      <c r="A10" s="6" t="s">
        <v>118</v>
      </c>
      <c r="B10" s="111" t="str">
        <f>IFERROR(LOOKUP(2, 1/((Validations_ext!$B$2:$B$2004=$B$2)*(Validations_ext!$C$2:$C$2004=$B6)), Validations_ext!$J$2:$J$2004), "OK")</f>
        <v>OK</v>
      </c>
      <c r="C10" s="111" t="str">
        <f>IFERROR(LOOKUP(2, 1/((Validations_ext!$B$2:$B$2004=$B$2)*(Validations_ext!$C$2:$C$2004=$C6)), Validations_ext!$J$2:$J$2004), "OK")</f>
        <v>OK</v>
      </c>
      <c r="D10" s="111" t="str">
        <f>IFERROR(LOOKUP(2, 1/((Validations_ext!$B$2:$B$2004=$B$2)*(Validations_ext!$C$2:$C$2004=$D6)), Validations_ext!$J$2:$J$2004), "OK")</f>
        <v>OK</v>
      </c>
      <c r="E10" s="111" t="str">
        <f>IFERROR(LOOKUP(2, 1/((Validations_ext!$B$2:$B$2004=$B$2)*(Validations_ext!$C$2:$C$2004=$E6)), Validations_ext!$J$2:$J$2004), "OK")</f>
        <v>OK</v>
      </c>
      <c r="F10" s="112" t="str">
        <f>IFERROR(LOOKUP(2, 1/((Validations_ext!$B$2:$B$2004=$B$2)*(Validations_ext!$C$2:$C$2004=$F6)), Validations_ext!$J$2:$J$2004), "OK")</f>
        <v>OK</v>
      </c>
      <c r="G10" s="113" t="str">
        <f>IFERROR(LOOKUP(2, 1/((Validations_ext!$B$2:$B$2004=$B$2)*(Validations_ext!$C$2:$C$2004=$G6)), Validations_ext!$J$2:$J$2004), "OK")</f>
        <v>OK</v>
      </c>
      <c r="M10"/>
      <c r="N10"/>
      <c r="O10"/>
      <c r="P10"/>
      <c r="Q10"/>
      <c r="R10"/>
      <c r="S10"/>
      <c r="T10"/>
      <c r="U10"/>
    </row>
    <row r="11" spans="1:100" ht="31.5" customHeight="1">
      <c r="A11" s="4" t="s">
        <v>119</v>
      </c>
      <c r="B11" s="108"/>
      <c r="C11" s="108"/>
      <c r="D11" s="108"/>
      <c r="E11" s="108"/>
      <c r="F11" s="108"/>
      <c r="G11" s="108"/>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KyVIogr28ZGJO2n+YVjx3WtuGcvbZ4VXEfAEzNZUpsybi20eYtr9T1vyw/oWTqekj5yiUmV4o9XI6qVP72pe1g==" saltValue="+J0A9QjGHNzzohVLWa9/Ew==" spinCount="100000" sheet="1" objects="1" scenarios="1"/>
  <mergeCells count="4">
    <mergeCell ref="B1:D1"/>
    <mergeCell ref="B4:G4"/>
    <mergeCell ref="C2:G2"/>
    <mergeCell ref="A2:A3"/>
  </mergeCells>
  <conditionalFormatting sqref="B10:G10">
    <cfRule type="expression" dxfId="39" priority="7">
      <formula>ISNUMBER(SEARCH("error",B10))</formula>
    </cfRule>
  </conditionalFormatting>
  <conditionalFormatting sqref="B12:G12">
    <cfRule type="expression" dxfId="38" priority="1">
      <formula>MOD(ROW(),2)=0</formula>
    </cfRule>
  </conditionalFormatting>
  <dataValidations count="1">
    <dataValidation type="decimal" allowBlank="1" showDropDown="1" showInputMessage="1" showErrorMessage="1" error="Please enter a valid Monetary value" sqref="B11:G11" xr:uid="{0C2B3D70-02E4-4009-A905-D82E9FC41932}">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2AF8B-BB92-4DF1-856E-0B767337348D}">
  <sheetPr codeName="Sheet21"/>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3" width="27.7109375" style="85" bestFit="1" customWidth="1"/>
    <col min="4" max="4" width="27.85546875" style="85" bestFit="1" customWidth="1"/>
    <col min="5" max="6" width="27.7109375" customWidth="1"/>
  </cols>
  <sheetData>
    <row r="1" spans="1:100" s="57" customFormat="1" ht="2.25" customHeight="1">
      <c r="A1" s="54"/>
      <c r="B1" s="191"/>
      <c r="C1" s="192"/>
      <c r="D1" s="191"/>
      <c r="E1"/>
      <c r="F1"/>
      <c r="G1"/>
      <c r="H1"/>
      <c r="I1"/>
      <c r="J1"/>
      <c r="K1"/>
      <c r="L1"/>
      <c r="M1"/>
      <c r="N1"/>
      <c r="O1"/>
      <c r="P1"/>
      <c r="Q1"/>
      <c r="R1"/>
      <c r="S1"/>
      <c r="T1"/>
      <c r="U1"/>
      <c r="V1"/>
      <c r="W1"/>
      <c r="X1"/>
      <c r="Y1"/>
    </row>
    <row r="2" spans="1:100" ht="75.75" customHeight="1">
      <c r="A2" s="187" t="s">
        <v>43</v>
      </c>
      <c r="B2" s="58" t="s">
        <v>240</v>
      </c>
      <c r="C2" s="190" t="s">
        <v>241</v>
      </c>
      <c r="D2" s="193"/>
      <c r="E2" s="190"/>
      <c r="F2" s="193"/>
      <c r="G2" s="15"/>
      <c r="H2" s="15"/>
      <c r="I2" s="15"/>
      <c r="J2" s="15"/>
      <c r="K2" s="15"/>
      <c r="L2" s="15"/>
      <c r="M2" s="15"/>
      <c r="N2" s="15"/>
      <c r="O2" s="15"/>
      <c r="P2" s="15"/>
      <c r="Q2" s="15"/>
      <c r="R2" s="15"/>
      <c r="S2" s="15"/>
      <c r="T2" s="15"/>
      <c r="U2" s="15"/>
      <c r="V2" s="15"/>
      <c r="W2" s="15"/>
      <c r="X2" s="15"/>
    </row>
    <row r="3" spans="1:100" s="60" customFormat="1" ht="76.5" customHeight="1">
      <c r="A3" s="187"/>
      <c r="B3" s="59"/>
    </row>
    <row r="4" spans="1:100" s="57" customFormat="1" ht="24" customHeight="1">
      <c r="A4" s="61" t="s">
        <v>46</v>
      </c>
      <c r="B4" s="195" t="s">
        <v>70</v>
      </c>
      <c r="C4" s="195"/>
      <c r="D4" s="195"/>
      <c r="E4" s="196"/>
      <c r="F4" s="197"/>
      <c r="G4" s="15"/>
      <c r="H4" s="15"/>
      <c r="I4" s="15"/>
      <c r="J4" s="15"/>
      <c r="K4" s="15"/>
      <c r="L4"/>
      <c r="M4"/>
      <c r="N4"/>
      <c r="O4"/>
      <c r="P4"/>
      <c r="Q4"/>
    </row>
    <row r="5" spans="1:100" s="15" customFormat="1" ht="78.75" customHeight="1">
      <c r="A5" s="7" t="s">
        <v>50</v>
      </c>
      <c r="B5" s="99" t="s">
        <v>242</v>
      </c>
      <c r="C5" s="99" t="s">
        <v>243</v>
      </c>
      <c r="D5" s="99" t="s">
        <v>244</v>
      </c>
      <c r="E5" s="100" t="s">
        <v>245</v>
      </c>
      <c r="F5" s="101" t="s">
        <v>246</v>
      </c>
    </row>
    <row r="6" spans="1:100" ht="21" customHeight="1">
      <c r="A6" s="5" t="s">
        <v>80</v>
      </c>
      <c r="B6" s="69" t="s">
        <v>81</v>
      </c>
      <c r="C6" s="70" t="s">
        <v>82</v>
      </c>
      <c r="D6" s="70" t="s">
        <v>83</v>
      </c>
      <c r="E6" s="103" t="s">
        <v>84</v>
      </c>
      <c r="F6" s="115" t="s">
        <v>85</v>
      </c>
      <c r="G6" s="15"/>
      <c r="H6" s="15"/>
      <c r="I6" s="15"/>
      <c r="J6" s="15"/>
      <c r="K6" s="15"/>
    </row>
    <row r="7" spans="1:100" s="16" customFormat="1" ht="15" customHeight="1">
      <c r="A7" s="6" t="s">
        <v>110</v>
      </c>
      <c r="B7" s="74" t="s">
        <v>149</v>
      </c>
      <c r="C7" s="74" t="s">
        <v>150</v>
      </c>
      <c r="D7" s="74" t="s">
        <v>150</v>
      </c>
      <c r="E7" s="75" t="s">
        <v>150</v>
      </c>
      <c r="F7" s="76" t="s">
        <v>150</v>
      </c>
      <c r="G7" s="15"/>
      <c r="H7" s="15"/>
      <c r="I7" s="15"/>
      <c r="J7" s="15"/>
      <c r="K7" s="15"/>
      <c r="L7"/>
      <c r="M7"/>
      <c r="N7"/>
      <c r="O7"/>
      <c r="P7"/>
      <c r="Q7"/>
    </row>
    <row r="8" spans="1:100" ht="15" customHeight="1">
      <c r="A8" s="6" t="s">
        <v>111</v>
      </c>
      <c r="B8" s="74" t="s">
        <v>151</v>
      </c>
      <c r="C8" s="74" t="s">
        <v>151</v>
      </c>
      <c r="D8" s="74" t="s">
        <v>151</v>
      </c>
      <c r="E8" s="75" t="s">
        <v>158</v>
      </c>
      <c r="F8" s="76" t="s">
        <v>158</v>
      </c>
      <c r="G8" s="15"/>
      <c r="H8" s="15"/>
      <c r="I8" s="15"/>
      <c r="J8" s="15"/>
      <c r="K8" s="15"/>
    </row>
    <row r="9" spans="1:100" ht="15" customHeight="1">
      <c r="A9" s="6" t="s">
        <v>117</v>
      </c>
      <c r="B9" s="74"/>
      <c r="C9" s="74"/>
      <c r="D9" s="74"/>
      <c r="E9" s="75"/>
      <c r="F9" s="76"/>
      <c r="G9" s="15"/>
      <c r="H9" s="15"/>
      <c r="I9" s="15"/>
      <c r="J9" s="15"/>
      <c r="K9" s="15"/>
    </row>
    <row r="10" spans="1:100" s="15" customFormat="1" ht="98.25" customHeight="1">
      <c r="A10" s="6" t="s">
        <v>118</v>
      </c>
      <c r="B10" s="111" t="str">
        <f>IFERROR(LOOKUP(2, 1/((Validations_ext!$B$2:$B$2004=$B$2)*(Validations_ext!$C$2:$C$2004=$B6)), Validations_ext!$J$2:$J$2004), "OK")</f>
        <v>OK</v>
      </c>
      <c r="C10" s="111" t="str">
        <f>IFERROR(LOOKUP(2, 1/((Validations_ext!$B$2:$B$2004=$B$2)*(Validations_ext!$C$2:$C$2004=$C6)), Validations_ext!$J$2:$J$2004), "OK")</f>
        <v>OK</v>
      </c>
      <c r="D10" s="111" t="str">
        <f>IFERROR(LOOKUP(2, 1/((Validations_ext!$B$2:$B$2004=$B$2)*(Validations_ext!$C$2:$C$2004=$D6)), Validations_ext!$J$2:$J$2004), "OK")</f>
        <v>OK</v>
      </c>
      <c r="E10" s="80" t="str">
        <f>IFERROR(LOOKUP(2, 1/((Validations_ext!$B$2:$B$2004=$B$2)*(Validations_ext!$C$2:$C$2004=$E6)), Validations_ext!$J$2:$J$2004), "OK")</f>
        <v>OK</v>
      </c>
      <c r="F10" s="81" t="str">
        <f>IFERROR(LOOKUP(2, 1/((Validations_ext!$B$2:$B$2004=$B$2)*(Validations_ext!$C$2:$C$2004=$F6)), Validations_ext!$J$2:$J$2004), "OK")</f>
        <v>OK</v>
      </c>
      <c r="L10"/>
      <c r="M10"/>
      <c r="N10"/>
      <c r="O10"/>
      <c r="P10"/>
      <c r="Q10"/>
      <c r="R10"/>
      <c r="S10"/>
      <c r="T10"/>
    </row>
    <row r="11" spans="1:100" ht="31.5" customHeight="1">
      <c r="A11" s="4" t="s">
        <v>119</v>
      </c>
      <c r="B11" s="105"/>
      <c r="C11" s="105"/>
      <c r="D11" s="105"/>
      <c r="E11" s="108"/>
      <c r="F11" s="108"/>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i+04HUh4PzFVYSygPmlqPaY3HLpSjJszjffEKNY0nJgGzYbWGhdUalaOIYbJG3yj4aNRN6E3+CoSpU3FPlJM8w==" saltValue="EbCqVDrvy92bUX9vSojMNg==" spinCount="100000" sheet="1" objects="1" scenarios="1"/>
  <mergeCells count="4">
    <mergeCell ref="B1:D1"/>
    <mergeCell ref="B4:F4"/>
    <mergeCell ref="C2:F2"/>
    <mergeCell ref="A2:A3"/>
  </mergeCells>
  <conditionalFormatting sqref="B10:F10">
    <cfRule type="expression" dxfId="37" priority="2">
      <formula>ISNUMBER(SEARCH("error",B10))</formula>
    </cfRule>
  </conditionalFormatting>
  <conditionalFormatting sqref="B12:F12">
    <cfRule type="expression" dxfId="36" priority="1">
      <formula>MOD(ROW(),2)=0</formula>
    </cfRule>
  </conditionalFormatting>
  <dataValidations count="2">
    <dataValidation type="whole" allowBlank="1" showDropDown="1" showInputMessage="1" showErrorMessage="1" error="Please enter a valid Integer" sqref="B11:D11" xr:uid="{AF88A055-9E7D-4F99-B5F8-C8306C28C703}">
      <formula1>-999999999999999</formula1>
      <formula2>999999999999999</formula2>
    </dataValidation>
    <dataValidation type="decimal" allowBlank="1" showDropDown="1" showInputMessage="1" showErrorMessage="1" error="Please enter a valid Monetary value" sqref="E11:F11" xr:uid="{92BA1980-6E42-410B-B570-346DD78BD0FB}">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8205-DDC8-42B7-8156-65EBBFC77732}">
  <sheetPr codeName="Sheet22"/>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3" width="27.85546875" style="85" bestFit="1" customWidth="1"/>
    <col min="4" max="4" width="27.7109375" style="85" customWidth="1"/>
    <col min="5" max="5" width="27.7109375" customWidth="1"/>
    <col min="6" max="6" width="29.5703125" bestFit="1" customWidth="1"/>
  </cols>
  <sheetData>
    <row r="1" spans="1:100" s="57" customFormat="1" ht="2.25" customHeight="1">
      <c r="A1" s="54"/>
      <c r="B1" s="191"/>
      <c r="C1" s="192"/>
      <c r="D1" s="191"/>
      <c r="E1"/>
      <c r="F1"/>
      <c r="G1"/>
      <c r="H1"/>
      <c r="I1"/>
      <c r="J1"/>
      <c r="K1"/>
      <c r="L1"/>
      <c r="M1"/>
      <c r="N1"/>
      <c r="O1"/>
      <c r="P1"/>
      <c r="Q1"/>
      <c r="R1"/>
      <c r="S1"/>
      <c r="T1"/>
      <c r="U1"/>
      <c r="V1"/>
      <c r="W1"/>
      <c r="X1"/>
      <c r="Y1"/>
    </row>
    <row r="2" spans="1:100" ht="75.75" customHeight="1">
      <c r="A2" s="187" t="s">
        <v>43</v>
      </c>
      <c r="B2" s="58" t="s">
        <v>247</v>
      </c>
      <c r="C2" s="190" t="s">
        <v>248</v>
      </c>
      <c r="D2" s="193"/>
      <c r="E2" s="190"/>
      <c r="F2" s="193"/>
      <c r="G2" s="15"/>
      <c r="H2" s="15"/>
      <c r="I2" s="15"/>
      <c r="J2" s="15"/>
      <c r="K2" s="15"/>
      <c r="L2" s="15"/>
      <c r="M2" s="15"/>
      <c r="N2" s="15"/>
      <c r="O2" s="15"/>
      <c r="P2" s="15"/>
      <c r="Q2" s="15"/>
      <c r="R2" s="15"/>
      <c r="S2" s="15"/>
      <c r="T2" s="15"/>
      <c r="U2" s="15"/>
      <c r="V2" s="15"/>
      <c r="W2" s="15"/>
      <c r="X2" s="15"/>
    </row>
    <row r="3" spans="1:100" s="60" customFormat="1" ht="76.5" customHeight="1">
      <c r="A3" s="187"/>
      <c r="B3" s="59"/>
    </row>
    <row r="4" spans="1:100" s="57" customFormat="1" ht="24" customHeight="1">
      <c r="A4" s="61" t="s">
        <v>46</v>
      </c>
      <c r="B4" s="195" t="s">
        <v>249</v>
      </c>
      <c r="C4" s="195"/>
      <c r="D4" s="195"/>
      <c r="E4" s="196"/>
      <c r="F4" s="197"/>
      <c r="G4" s="15"/>
      <c r="H4" s="15"/>
      <c r="I4" s="15"/>
      <c r="J4" s="15"/>
      <c r="K4" s="15"/>
      <c r="L4"/>
      <c r="M4"/>
      <c r="N4"/>
      <c r="O4"/>
      <c r="P4"/>
      <c r="Q4"/>
    </row>
    <row r="5" spans="1:100" s="15" customFormat="1" ht="78.75" customHeight="1">
      <c r="A5" s="7" t="s">
        <v>50</v>
      </c>
      <c r="B5" s="99" t="s">
        <v>250</v>
      </c>
      <c r="C5" s="99" t="s">
        <v>251</v>
      </c>
      <c r="D5" s="99" t="s">
        <v>252</v>
      </c>
      <c r="E5" s="100" t="s">
        <v>253</v>
      </c>
      <c r="F5" s="101" t="s">
        <v>254</v>
      </c>
    </row>
    <row r="6" spans="1:100" ht="21" customHeight="1">
      <c r="A6" s="5" t="s">
        <v>80</v>
      </c>
      <c r="B6" s="69" t="s">
        <v>81</v>
      </c>
      <c r="C6" s="70" t="s">
        <v>82</v>
      </c>
      <c r="D6" s="70" t="s">
        <v>83</v>
      </c>
      <c r="E6" s="103" t="s">
        <v>84</v>
      </c>
      <c r="F6" s="115" t="s">
        <v>85</v>
      </c>
      <c r="G6" s="15"/>
      <c r="H6" s="15"/>
      <c r="I6" s="15"/>
      <c r="J6" s="15"/>
      <c r="K6" s="15"/>
    </row>
    <row r="7" spans="1:100" s="16" customFormat="1" ht="15" customHeight="1">
      <c r="A7" s="6" t="s">
        <v>110</v>
      </c>
      <c r="B7" s="74" t="s">
        <v>150</v>
      </c>
      <c r="C7" s="74" t="s">
        <v>150</v>
      </c>
      <c r="D7" s="74" t="s">
        <v>150</v>
      </c>
      <c r="E7" s="75" t="s">
        <v>150</v>
      </c>
      <c r="F7" s="76" t="s">
        <v>150</v>
      </c>
      <c r="G7" s="15"/>
      <c r="H7" s="15"/>
      <c r="I7" s="15"/>
      <c r="J7" s="15"/>
      <c r="K7" s="15"/>
      <c r="L7"/>
      <c r="M7"/>
      <c r="N7"/>
      <c r="O7"/>
      <c r="P7"/>
      <c r="Q7"/>
    </row>
    <row r="8" spans="1:100" ht="15" customHeight="1">
      <c r="A8" s="6" t="s">
        <v>111</v>
      </c>
      <c r="B8" s="74" t="s">
        <v>151</v>
      </c>
      <c r="C8" s="74" t="s">
        <v>151</v>
      </c>
      <c r="D8" s="74" t="s">
        <v>158</v>
      </c>
      <c r="E8" s="75" t="s">
        <v>158</v>
      </c>
      <c r="F8" s="76" t="s">
        <v>158</v>
      </c>
      <c r="G8" s="15"/>
      <c r="H8" s="15"/>
      <c r="I8" s="15"/>
      <c r="J8" s="15"/>
      <c r="K8" s="15"/>
    </row>
    <row r="9" spans="1:100" ht="15" customHeight="1">
      <c r="A9" s="6" t="s">
        <v>117</v>
      </c>
      <c r="B9" s="74"/>
      <c r="C9" s="74"/>
      <c r="D9" s="74"/>
      <c r="E9" s="75"/>
      <c r="F9" s="76"/>
      <c r="G9" s="15"/>
      <c r="H9" s="15"/>
      <c r="I9" s="15"/>
      <c r="J9" s="15"/>
      <c r="K9" s="15"/>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80" t="str">
        <f>IFERROR(LOOKUP(2, 1/((Validations_ext!$B$2:$B$2004=$B$2)*(Validations_ext!$C$2:$C$2004=$E6)), Validations_ext!$J$2:$J$2004), "OK")</f>
        <v>OK</v>
      </c>
      <c r="F10" s="81" t="str">
        <f>IFERROR(LOOKUP(2, 1/((Validations_ext!$B$2:$B$2004=$B$2)*(Validations_ext!$C$2:$C$2004=$F6)), Validations_ext!$J$2:$J$2004), "OK")</f>
        <v>OK</v>
      </c>
      <c r="L10"/>
      <c r="M10"/>
      <c r="N10"/>
      <c r="O10"/>
      <c r="P10"/>
      <c r="Q10"/>
      <c r="R10"/>
      <c r="S10"/>
      <c r="T10"/>
    </row>
    <row r="11" spans="1:100" ht="31.5" customHeight="1">
      <c r="A11" s="4" t="s">
        <v>119</v>
      </c>
      <c r="B11" s="105"/>
      <c r="C11" s="105"/>
      <c r="D11" s="108"/>
      <c r="E11" s="108"/>
      <c r="F11" s="108"/>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qE330hppj4Tow/k9sF8hZ2IQ5OYHakkgHpRUmmsycim8QwrGU7dBwkm2th2c35zX4mvA1sYvogkXKGlBPyUmDw==" saltValue="28DUZ2VyZlxUdBoOXBXndA==" spinCount="100000" sheet="1" objects="1" scenarios="1"/>
  <mergeCells count="4">
    <mergeCell ref="B1:D1"/>
    <mergeCell ref="B4:F4"/>
    <mergeCell ref="C2:F2"/>
    <mergeCell ref="A2:A3"/>
  </mergeCells>
  <conditionalFormatting sqref="B10:F10">
    <cfRule type="expression" dxfId="35" priority="3">
      <formula>ISNUMBER(SEARCH("error",B10))</formula>
    </cfRule>
  </conditionalFormatting>
  <conditionalFormatting sqref="B12:F12">
    <cfRule type="expression" dxfId="34" priority="1">
      <formula>MOD(ROW(),2)=0</formula>
    </cfRule>
  </conditionalFormatting>
  <dataValidations count="2">
    <dataValidation type="whole" allowBlank="1" showDropDown="1" showInputMessage="1" showErrorMessage="1" error="Please enter a valid Integer" sqref="B11:C11" xr:uid="{F3D323A4-D92C-44DC-AFF1-131838619CFF}">
      <formula1>-999999999999999</formula1>
      <formula2>999999999999999</formula2>
    </dataValidation>
    <dataValidation type="decimal" allowBlank="1" showDropDown="1" showInputMessage="1" showErrorMessage="1" error="Please enter a valid Monetary value" sqref="D11:F11" xr:uid="{4048433C-EAA2-4EB8-9631-845AAD17DDC3}">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1EB35-CA1F-44A3-A71C-EEB8ACF7765E}">
  <sheetPr codeName="Sheet23"/>
  <dimension ref="A1:CV14"/>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3.85546875" style="85" customWidth="1"/>
    <col min="5" max="5" width="23.85546875" customWidth="1"/>
  </cols>
  <sheetData>
    <row r="1" spans="1:100" s="57" customFormat="1" ht="2.25" customHeight="1">
      <c r="A1" s="54"/>
      <c r="C1" s="122"/>
      <c r="D1"/>
      <c r="E1"/>
      <c r="F1"/>
      <c r="G1"/>
      <c r="H1"/>
      <c r="I1"/>
      <c r="J1"/>
      <c r="K1"/>
      <c r="L1"/>
      <c r="M1"/>
      <c r="N1"/>
      <c r="O1"/>
      <c r="P1"/>
      <c r="Q1"/>
      <c r="R1"/>
      <c r="S1"/>
      <c r="T1"/>
      <c r="U1"/>
      <c r="V1"/>
    </row>
    <row r="2" spans="1:100" ht="75.75" customHeight="1">
      <c r="A2" s="187" t="s">
        <v>43</v>
      </c>
      <c r="B2" s="58" t="s">
        <v>255</v>
      </c>
      <c r="C2" s="190" t="s">
        <v>256</v>
      </c>
      <c r="D2" s="193"/>
      <c r="E2" s="190"/>
      <c r="G2" s="15"/>
      <c r="H2" s="15"/>
      <c r="I2" s="15"/>
      <c r="J2" s="15"/>
      <c r="K2" s="15"/>
      <c r="L2" s="15"/>
      <c r="M2" s="15"/>
      <c r="N2" s="15"/>
      <c r="O2" s="15"/>
      <c r="P2" s="15"/>
      <c r="Q2" s="15"/>
      <c r="R2" s="15"/>
      <c r="S2" s="15"/>
      <c r="T2" s="15"/>
      <c r="U2" s="15"/>
    </row>
    <row r="3" spans="1:100" s="60" customFormat="1" ht="76.5" customHeight="1">
      <c r="A3" s="187"/>
      <c r="B3" s="59"/>
    </row>
    <row r="4" spans="1:100" s="57" customFormat="1" ht="24" customHeight="1">
      <c r="A4" s="61" t="s">
        <v>46</v>
      </c>
      <c r="B4" s="98" t="s">
        <v>72</v>
      </c>
      <c r="C4"/>
      <c r="D4"/>
      <c r="E4"/>
      <c r="F4"/>
      <c r="G4"/>
      <c r="H4"/>
      <c r="I4"/>
      <c r="J4"/>
      <c r="K4"/>
      <c r="L4"/>
      <c r="M4"/>
      <c r="N4"/>
      <c r="O4"/>
      <c r="P4"/>
      <c r="Q4"/>
      <c r="R4"/>
      <c r="S4"/>
      <c r="T4"/>
    </row>
    <row r="5" spans="1:100" s="15" customFormat="1" ht="78.75" customHeight="1">
      <c r="A5" s="7" t="s">
        <v>50</v>
      </c>
      <c r="B5" s="99" t="s">
        <v>257</v>
      </c>
      <c r="C5" s="118"/>
      <c r="D5" s="119"/>
      <c r="E5" s="119"/>
    </row>
    <row r="6" spans="1:100" ht="21" customHeight="1">
      <c r="A6" s="5" t="s">
        <v>80</v>
      </c>
      <c r="B6" s="69" t="s">
        <v>81</v>
      </c>
      <c r="C6" s="123"/>
      <c r="D6" s="124"/>
      <c r="E6" s="124"/>
    </row>
    <row r="7" spans="1:100" s="16" customFormat="1" ht="15" customHeight="1">
      <c r="A7" s="6" t="s">
        <v>110</v>
      </c>
      <c r="B7" s="74" t="s">
        <v>150</v>
      </c>
      <c r="C7"/>
      <c r="D7"/>
      <c r="E7"/>
      <c r="F7"/>
      <c r="G7"/>
      <c r="H7"/>
      <c r="I7"/>
      <c r="J7"/>
      <c r="K7"/>
      <c r="L7"/>
      <c r="M7"/>
      <c r="N7"/>
      <c r="O7"/>
      <c r="P7"/>
      <c r="Q7"/>
      <c r="R7"/>
      <c r="S7"/>
      <c r="T7"/>
    </row>
    <row r="8" spans="1:100" ht="15" customHeight="1">
      <c r="A8" s="6" t="s">
        <v>111</v>
      </c>
      <c r="B8" s="74" t="s">
        <v>151</v>
      </c>
      <c r="C8"/>
      <c r="D8"/>
    </row>
    <row r="9" spans="1:100" ht="15" customHeight="1">
      <c r="A9" s="6" t="s">
        <v>117</v>
      </c>
      <c r="B9" s="74"/>
      <c r="C9"/>
      <c r="D9"/>
    </row>
    <row r="10" spans="1:100" s="15" customFormat="1" ht="98.25" customHeight="1">
      <c r="A10" s="6" t="s">
        <v>118</v>
      </c>
      <c r="B10" s="111" t="str">
        <f>IFERROR(LOOKUP(2, 1/((Validations_ext!$B$2:$B$2004=$B$2)*(Validations_ext!$C$2:$C$2004=$B6)), Validations_ext!$J$2:$J$2004), "OK")</f>
        <v>OK</v>
      </c>
      <c r="C10"/>
      <c r="D10"/>
      <c r="E10"/>
      <c r="F10"/>
      <c r="G10"/>
      <c r="H10"/>
      <c r="I10"/>
      <c r="J10"/>
      <c r="K10"/>
      <c r="L10"/>
      <c r="M10"/>
      <c r="N10"/>
      <c r="O10"/>
      <c r="P10"/>
      <c r="Q10"/>
      <c r="R10"/>
      <c r="S10"/>
      <c r="T10"/>
      <c r="U10"/>
      <c r="V10"/>
      <c r="W10"/>
    </row>
    <row r="11" spans="1:100" ht="31.5" customHeight="1">
      <c r="A11" s="4" t="s">
        <v>119</v>
      </c>
      <c r="B11" s="105"/>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rqBBJz2DeaQhh0dgU5QOmZJUE0keThi0r9cxvt1CNp+UyzZj4ejvBl/VyduKyrLxT6lHdLrFQbrqSPPfPzWdRw==" saltValue="mdQL8DC6tTYcT7SEddysWw==" spinCount="100000" sheet="1" objects="1" scenarios="1"/>
  <mergeCells count="2">
    <mergeCell ref="C2:E2"/>
    <mergeCell ref="A2:A3"/>
  </mergeCells>
  <conditionalFormatting sqref="B10">
    <cfRule type="expression" dxfId="33" priority="2">
      <formula>ISNUMBER(SEARCH("error",B10))</formula>
    </cfRule>
  </conditionalFormatting>
  <conditionalFormatting sqref="B12">
    <cfRule type="expression" dxfId="32" priority="1">
      <formula>MOD(ROW(),2)=0</formula>
    </cfRule>
  </conditionalFormatting>
  <dataValidations count="1">
    <dataValidation type="whole" allowBlank="1" showDropDown="1" showInputMessage="1" showErrorMessage="1" error="Please enter a valid Integer" sqref="B11" xr:uid="{B3BA92EF-CC18-46DD-B605-58E4162B6891}">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9F28-9004-49D4-B7B2-16A0DEEF4085}">
  <sheetPr codeName="Sheet24"/>
  <dimension ref="A1:CV14"/>
  <sheetViews>
    <sheetView zoomScale="90" zoomScaleNormal="90" workbookViewId="0">
      <selection activeCell="B11" sqref="B11"/>
    </sheetView>
  </sheetViews>
  <sheetFormatPr defaultColWidth="15.42578125" defaultRowHeight="15"/>
  <cols>
    <col min="1" max="1" width="28.5703125" style="57" customWidth="1"/>
    <col min="2" max="2" width="31.28515625" bestFit="1" customWidth="1"/>
    <col min="3" max="4" width="23.85546875" style="85" customWidth="1"/>
    <col min="5" max="5" width="23.85546875" customWidth="1"/>
  </cols>
  <sheetData>
    <row r="1" spans="1:100" s="57" customFormat="1" ht="2.25" customHeight="1">
      <c r="A1" s="54"/>
      <c r="C1" s="122"/>
      <c r="D1"/>
      <c r="E1"/>
      <c r="F1"/>
      <c r="G1"/>
      <c r="H1"/>
      <c r="I1"/>
      <c r="J1"/>
      <c r="K1"/>
      <c r="L1"/>
      <c r="M1"/>
      <c r="N1"/>
      <c r="O1"/>
      <c r="P1"/>
      <c r="Q1"/>
      <c r="R1"/>
      <c r="S1"/>
      <c r="T1"/>
      <c r="U1"/>
      <c r="V1"/>
    </row>
    <row r="2" spans="1:100" ht="75.75" customHeight="1">
      <c r="A2" s="187" t="s">
        <v>43</v>
      </c>
      <c r="B2" s="58" t="s">
        <v>258</v>
      </c>
      <c r="C2" s="190" t="s">
        <v>259</v>
      </c>
      <c r="D2" s="193"/>
      <c r="E2" s="190"/>
      <c r="G2" s="15"/>
      <c r="H2" s="15"/>
      <c r="I2" s="15"/>
      <c r="J2" s="15"/>
      <c r="K2" s="15"/>
      <c r="L2" s="15"/>
      <c r="M2" s="15"/>
      <c r="N2" s="15"/>
      <c r="O2" s="15"/>
      <c r="P2" s="15"/>
      <c r="Q2" s="15"/>
      <c r="R2" s="15"/>
      <c r="S2" s="15"/>
      <c r="T2" s="15"/>
      <c r="U2" s="15"/>
    </row>
    <row r="3" spans="1:100" s="60" customFormat="1" ht="76.5" customHeight="1">
      <c r="A3" s="187"/>
      <c r="B3" s="59"/>
    </row>
    <row r="4" spans="1:100" s="57" customFormat="1" ht="24" customHeight="1">
      <c r="A4" s="61" t="s">
        <v>46</v>
      </c>
      <c r="B4" s="98" t="s">
        <v>259</v>
      </c>
      <c r="C4"/>
      <c r="D4"/>
      <c r="E4"/>
      <c r="F4"/>
      <c r="G4"/>
      <c r="H4"/>
      <c r="I4"/>
      <c r="J4"/>
      <c r="K4"/>
      <c r="L4"/>
      <c r="M4"/>
      <c r="N4"/>
      <c r="O4"/>
      <c r="P4"/>
      <c r="Q4"/>
      <c r="R4"/>
      <c r="S4"/>
      <c r="T4"/>
    </row>
    <row r="5" spans="1:100" s="15" customFormat="1" ht="78.75" customHeight="1">
      <c r="A5" s="7" t="s">
        <v>50</v>
      </c>
      <c r="B5" s="99" t="s">
        <v>260</v>
      </c>
      <c r="C5" s="118"/>
      <c r="D5" s="119"/>
      <c r="E5" s="119"/>
    </row>
    <row r="6" spans="1:100" ht="21" customHeight="1">
      <c r="A6" s="5" t="s">
        <v>80</v>
      </c>
      <c r="B6" s="69" t="s">
        <v>81</v>
      </c>
      <c r="C6" s="123"/>
      <c r="D6" s="124"/>
      <c r="E6" s="124"/>
    </row>
    <row r="7" spans="1:100" s="16" customFormat="1" ht="15" customHeight="1">
      <c r="A7" s="6" t="s">
        <v>110</v>
      </c>
      <c r="B7" s="74" t="s">
        <v>149</v>
      </c>
      <c r="C7"/>
      <c r="D7"/>
      <c r="E7"/>
      <c r="F7"/>
      <c r="G7"/>
      <c r="H7"/>
      <c r="I7"/>
      <c r="J7"/>
      <c r="K7"/>
      <c r="L7"/>
      <c r="M7"/>
      <c r="N7"/>
      <c r="O7"/>
      <c r="P7"/>
      <c r="Q7"/>
      <c r="R7"/>
      <c r="S7"/>
      <c r="T7"/>
    </row>
    <row r="8" spans="1:100" ht="15" customHeight="1">
      <c r="A8" s="6" t="s">
        <v>111</v>
      </c>
      <c r="B8" s="74" t="s">
        <v>151</v>
      </c>
      <c r="C8"/>
      <c r="D8"/>
    </row>
    <row r="9" spans="1:100" ht="15" customHeight="1">
      <c r="A9" s="6" t="s">
        <v>117</v>
      </c>
      <c r="B9" s="74"/>
      <c r="C9"/>
      <c r="D9"/>
    </row>
    <row r="10" spans="1:100" s="15" customFormat="1" ht="98.25" customHeight="1">
      <c r="A10" s="6" t="s">
        <v>118</v>
      </c>
      <c r="B10" s="111" t="str">
        <f>IFERROR(LOOKUP(2, 1/((Validations_ext!$B$2:$B$2004=$B$2)*(Validations_ext!$C$2:$C$2004=$B6)), Validations_ext!$J$2:$J$2004), "OK")</f>
        <v>OK</v>
      </c>
      <c r="C10"/>
      <c r="D10"/>
      <c r="E10"/>
      <c r="F10"/>
      <c r="G10"/>
      <c r="H10"/>
      <c r="I10"/>
      <c r="J10"/>
      <c r="K10"/>
      <c r="L10"/>
      <c r="M10"/>
      <c r="N10"/>
      <c r="O10"/>
      <c r="P10"/>
      <c r="Q10"/>
      <c r="R10"/>
      <c r="S10"/>
      <c r="T10"/>
      <c r="U10"/>
      <c r="V10"/>
      <c r="W10"/>
    </row>
    <row r="11" spans="1:100" ht="31.5" customHeight="1">
      <c r="A11" s="4" t="s">
        <v>119</v>
      </c>
      <c r="B11" s="105"/>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crqVni7sSiHbNPzQL5+8XJxIuaPsRWCZz1m4i7DVqd9nVT/ixogSOrx5OCEI4i3Y3RnrLgvyUevCZoljcyxivA==" saltValue="zTvK8iCyBdNIVP5H9LrKLg==" spinCount="100000" sheet="1" objects="1" scenarios="1"/>
  <mergeCells count="2">
    <mergeCell ref="C2:E2"/>
    <mergeCell ref="A2:A3"/>
  </mergeCells>
  <conditionalFormatting sqref="B10">
    <cfRule type="expression" dxfId="31" priority="2">
      <formula>ISNUMBER(SEARCH("error",B10))</formula>
    </cfRule>
  </conditionalFormatting>
  <conditionalFormatting sqref="B12">
    <cfRule type="expression" dxfId="30" priority="1">
      <formula>MOD(ROW(),2)=0</formula>
    </cfRule>
  </conditionalFormatting>
  <dataValidations count="1">
    <dataValidation type="whole" allowBlank="1" showDropDown="1" showInputMessage="1" showErrorMessage="1" error="Please enter a valid Integer" sqref="B11" xr:uid="{A8FDE947-DD55-4632-BF3A-5F5F506448E8}">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A28F-15FF-4678-896C-A9BEA481EEC1}">
  <sheetPr codeName="Sheet25"/>
  <dimension ref="A1:CV14"/>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3" width="27.7109375" style="85" customWidth="1"/>
    <col min="4" max="4" width="23.85546875" style="85" customWidth="1"/>
    <col min="5" max="5" width="23.85546875" customWidth="1"/>
  </cols>
  <sheetData>
    <row r="1" spans="1:100" s="57" customFormat="1" ht="2.25" customHeight="1">
      <c r="A1" s="54"/>
      <c r="C1" s="122"/>
      <c r="D1"/>
      <c r="E1"/>
      <c r="F1"/>
      <c r="G1"/>
      <c r="H1"/>
      <c r="I1"/>
      <c r="J1"/>
      <c r="K1"/>
      <c r="L1"/>
      <c r="M1"/>
      <c r="N1"/>
      <c r="O1"/>
      <c r="P1"/>
      <c r="Q1"/>
      <c r="R1"/>
      <c r="S1"/>
      <c r="T1"/>
      <c r="U1"/>
      <c r="V1"/>
    </row>
    <row r="2" spans="1:100" ht="75.75" customHeight="1">
      <c r="A2" s="187" t="s">
        <v>43</v>
      </c>
      <c r="B2" s="58" t="s">
        <v>261</v>
      </c>
      <c r="C2" s="200" t="s">
        <v>262</v>
      </c>
      <c r="D2" s="200"/>
      <c r="E2" s="200"/>
      <c r="F2" s="200"/>
      <c r="G2" s="200"/>
      <c r="H2" s="200"/>
      <c r="I2" s="200"/>
      <c r="J2" s="15"/>
      <c r="K2" s="15"/>
      <c r="L2" s="15"/>
      <c r="M2" s="15"/>
      <c r="N2" s="15"/>
      <c r="O2" s="15"/>
      <c r="P2" s="15"/>
      <c r="Q2" s="15"/>
      <c r="R2" s="15"/>
      <c r="S2" s="15"/>
      <c r="T2" s="15"/>
      <c r="U2" s="15"/>
    </row>
    <row r="3" spans="1:100" s="60" customFormat="1" ht="76.5" customHeight="1">
      <c r="A3" s="187"/>
      <c r="B3" s="59"/>
    </row>
    <row r="4" spans="1:100" s="57" customFormat="1" ht="24" customHeight="1">
      <c r="A4" s="61" t="s">
        <v>46</v>
      </c>
      <c r="B4" s="185" t="s">
        <v>262</v>
      </c>
      <c r="C4" s="186"/>
      <c r="D4"/>
      <c r="E4"/>
      <c r="F4"/>
      <c r="G4"/>
      <c r="H4"/>
      <c r="I4"/>
      <c r="J4"/>
      <c r="K4"/>
      <c r="L4"/>
      <c r="M4"/>
      <c r="N4"/>
      <c r="O4"/>
      <c r="P4"/>
      <c r="Q4"/>
      <c r="R4"/>
      <c r="S4"/>
      <c r="T4"/>
    </row>
    <row r="5" spans="1:100" s="15" customFormat="1" ht="78.75" customHeight="1">
      <c r="A5" s="7" t="s">
        <v>50</v>
      </c>
      <c r="B5" s="100" t="s">
        <v>263</v>
      </c>
      <c r="C5" s="101" t="s">
        <v>264</v>
      </c>
      <c r="D5" s="118"/>
      <c r="E5" s="119"/>
    </row>
    <row r="6" spans="1:100" ht="21" customHeight="1">
      <c r="A6" s="5" t="s">
        <v>80</v>
      </c>
      <c r="B6" s="71" t="s">
        <v>81</v>
      </c>
      <c r="C6" s="115" t="s">
        <v>82</v>
      </c>
      <c r="D6" s="123"/>
      <c r="E6" s="124"/>
    </row>
    <row r="7" spans="1:100" s="16" customFormat="1" ht="15" customHeight="1">
      <c r="A7" s="6" t="s">
        <v>110</v>
      </c>
      <c r="B7" s="75" t="s">
        <v>149</v>
      </c>
      <c r="C7" s="76" t="s">
        <v>149</v>
      </c>
      <c r="D7"/>
      <c r="E7"/>
      <c r="F7"/>
      <c r="G7"/>
      <c r="H7"/>
      <c r="I7"/>
      <c r="J7"/>
      <c r="K7"/>
      <c r="L7"/>
      <c r="M7"/>
      <c r="N7"/>
      <c r="O7"/>
      <c r="P7"/>
      <c r="Q7"/>
      <c r="R7"/>
      <c r="S7"/>
      <c r="T7"/>
    </row>
    <row r="8" spans="1:100" ht="15" customHeight="1">
      <c r="A8" s="6" t="s">
        <v>111</v>
      </c>
      <c r="B8" s="75" t="s">
        <v>151</v>
      </c>
      <c r="C8" s="76" t="s">
        <v>158</v>
      </c>
      <c r="D8"/>
    </row>
    <row r="9" spans="1:100" ht="15" customHeight="1">
      <c r="A9" s="6" t="s">
        <v>117</v>
      </c>
      <c r="B9" s="75"/>
      <c r="C9" s="76"/>
      <c r="D9"/>
    </row>
    <row r="10" spans="1:100" s="15" customFormat="1" ht="98.25" customHeight="1">
      <c r="A10" s="6" t="s">
        <v>118</v>
      </c>
      <c r="B10" s="112" t="str">
        <f>IFERROR(LOOKUP(2, 1/((Validations_ext!$B$2:$B$2004=$B$2)*(Validations_ext!$C$2:$C$2004=$B6)), Validations_ext!$J$2:$J$2004), "OK")</f>
        <v>OK</v>
      </c>
      <c r="C10" s="81" t="str">
        <f>IFERROR(LOOKUP(2, 1/((Validations_ext!$B$2:$B$2004=$B$2)*(Validations_ext!$C$2:$C$2004=$C6)), Validations_ext!$J$2:$J$2004), "OK")</f>
        <v>OK</v>
      </c>
      <c r="D10"/>
      <c r="E10"/>
      <c r="F10"/>
      <c r="G10"/>
      <c r="H10"/>
      <c r="I10"/>
      <c r="J10"/>
      <c r="K10"/>
      <c r="L10"/>
      <c r="M10"/>
      <c r="N10"/>
      <c r="O10"/>
      <c r="P10"/>
      <c r="Q10"/>
      <c r="R10"/>
      <c r="S10"/>
      <c r="T10"/>
      <c r="U10"/>
      <c r="V10"/>
      <c r="W10"/>
    </row>
    <row r="11" spans="1:100" ht="31.5" customHeight="1">
      <c r="A11" s="4" t="s">
        <v>119</v>
      </c>
      <c r="B11" s="105"/>
      <c r="C11" s="108"/>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d8yzVoir02+EJX9r1EEK+DsY5vubuTEMyfJTjahmTRcNbjufBVfvTPA8Q4CRp2F5rRsUrss+ny5zyOiduMUCuA==" saltValue="O8tUnT3yT3NRAu/1epAyiQ==" spinCount="100000" sheet="1" objects="1" scenarios="1"/>
  <mergeCells count="3">
    <mergeCell ref="B4:C4"/>
    <mergeCell ref="A2:A3"/>
    <mergeCell ref="C2:I2"/>
  </mergeCells>
  <phoneticPr fontId="4" type="noConversion"/>
  <conditionalFormatting sqref="B10:C10">
    <cfRule type="expression" dxfId="29" priority="2">
      <formula>ISNUMBER(SEARCH("error",B10))</formula>
    </cfRule>
  </conditionalFormatting>
  <conditionalFormatting sqref="B12:C12">
    <cfRule type="expression" dxfId="28" priority="1">
      <formula>MOD(ROW(),2)=0</formula>
    </cfRule>
  </conditionalFormatting>
  <dataValidations count="2">
    <dataValidation type="whole" allowBlank="1" showDropDown="1" showInputMessage="1" showErrorMessage="1" error="Please enter a valid Integer" sqref="B11" xr:uid="{0DBA9740-2A63-4EC0-89F2-1E8E02923345}">
      <formula1>-999999999999999</formula1>
      <formula2>999999999999999</formula2>
    </dataValidation>
    <dataValidation type="decimal" allowBlank="1" showDropDown="1" showInputMessage="1" showErrorMessage="1" error="Please enter a valid Monetary value" sqref="C11" xr:uid="{081DBE83-D943-49CE-B750-129E059C861C}">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B3EF-8A30-40B2-90CB-FA60A9EEF2C6}">
  <sheetPr codeName="Sheet2"/>
  <dimension ref="A1:AM12"/>
  <sheetViews>
    <sheetView topLeftCell="Q3" zoomScale="80" zoomScaleNormal="80" workbookViewId="0">
      <selection activeCell="G5" sqref="G5"/>
    </sheetView>
  </sheetViews>
  <sheetFormatPr defaultColWidth="8.7109375" defaultRowHeight="15"/>
  <cols>
    <col min="1" max="2" width="27.7109375" customWidth="1"/>
    <col min="3" max="7" width="27.7109375" style="85" customWidth="1"/>
    <col min="8" max="30" width="27.7109375" customWidth="1"/>
  </cols>
  <sheetData>
    <row r="1" spans="1:39" s="57" customFormat="1" ht="2.25" customHeight="1">
      <c r="A1" s="54"/>
      <c r="B1" s="188"/>
      <c r="C1" s="189"/>
      <c r="D1" s="188"/>
      <c r="E1" s="188"/>
      <c r="F1" s="188"/>
      <c r="G1" s="55"/>
      <c r="H1"/>
      <c r="I1"/>
      <c r="J1"/>
      <c r="K1" s="56" t="s">
        <v>42</v>
      </c>
      <c r="L1"/>
      <c r="M1"/>
      <c r="N1"/>
      <c r="O1"/>
      <c r="P1"/>
      <c r="Q1"/>
      <c r="R1"/>
      <c r="S1"/>
      <c r="T1"/>
      <c r="U1"/>
      <c r="V1"/>
      <c r="W1"/>
      <c r="X1"/>
      <c r="Y1"/>
      <c r="Z1"/>
      <c r="AA1"/>
      <c r="AB1"/>
      <c r="AC1"/>
      <c r="AD1"/>
      <c r="AE1"/>
      <c r="AF1"/>
      <c r="AG1"/>
      <c r="AH1"/>
      <c r="AI1"/>
    </row>
    <row r="2" spans="1:39" ht="75.75" customHeight="1">
      <c r="A2" s="187" t="s">
        <v>43</v>
      </c>
      <c r="B2" s="58" t="s">
        <v>44</v>
      </c>
      <c r="C2" s="190" t="s">
        <v>45</v>
      </c>
      <c r="D2" s="190"/>
      <c r="E2" s="190"/>
      <c r="F2" s="190"/>
      <c r="G2" s="190"/>
      <c r="H2" s="190"/>
      <c r="I2" s="190"/>
      <c r="J2" s="190"/>
      <c r="K2" s="190"/>
      <c r="L2" s="15"/>
      <c r="M2" s="15"/>
      <c r="N2" s="15"/>
      <c r="O2" s="15"/>
      <c r="P2" s="15"/>
      <c r="Q2" s="15"/>
      <c r="R2" s="15"/>
      <c r="S2" s="15"/>
      <c r="T2" s="15"/>
      <c r="U2" s="15"/>
      <c r="V2" s="15"/>
      <c r="W2" s="15"/>
      <c r="X2" s="15"/>
      <c r="Y2" s="15"/>
      <c r="Z2" s="15"/>
      <c r="AA2" s="15"/>
      <c r="AB2" s="15"/>
      <c r="AC2" s="15"/>
      <c r="AD2" s="15"/>
      <c r="AE2" s="15"/>
      <c r="AF2" s="15"/>
      <c r="AG2" s="15"/>
      <c r="AH2" s="15"/>
    </row>
    <row r="3" spans="1:39" s="60" customFormat="1" ht="76.5" customHeight="1">
      <c r="A3" s="187"/>
      <c r="B3" s="59"/>
    </row>
    <row r="4" spans="1:39" s="63" customFormat="1" ht="24" customHeight="1">
      <c r="A4" s="61" t="s">
        <v>46</v>
      </c>
      <c r="B4" s="184" t="s">
        <v>47</v>
      </c>
      <c r="C4" s="184"/>
      <c r="D4" s="184"/>
      <c r="E4" s="184"/>
      <c r="F4" s="184"/>
      <c r="G4" s="185"/>
      <c r="H4" s="186"/>
      <c r="I4" s="62"/>
      <c r="J4" s="184" t="s">
        <v>48</v>
      </c>
      <c r="K4" s="184"/>
      <c r="L4" s="184"/>
      <c r="M4" s="184"/>
      <c r="N4" s="184"/>
      <c r="O4" s="185"/>
      <c r="P4" s="186"/>
      <c r="Q4" s="62"/>
      <c r="R4" s="184" t="s">
        <v>49</v>
      </c>
      <c r="S4" s="184"/>
      <c r="T4" s="184"/>
      <c r="U4" s="184"/>
      <c r="V4" s="184"/>
      <c r="W4" s="184"/>
      <c r="X4" s="184"/>
      <c r="Y4" s="184"/>
      <c r="Z4" s="184"/>
      <c r="AA4" s="184"/>
      <c r="AB4" s="184"/>
      <c r="AC4" s="185"/>
      <c r="AD4" s="186"/>
      <c r="AE4" s="11"/>
      <c r="AF4" s="11"/>
      <c r="AG4" s="11"/>
      <c r="AH4" s="11"/>
      <c r="AI4" s="11"/>
    </row>
    <row r="5" spans="1:39" s="68" customFormat="1" ht="78.75" customHeight="1">
      <c r="A5" s="7" t="s">
        <v>50</v>
      </c>
      <c r="B5" s="64" t="s">
        <v>51</v>
      </c>
      <c r="C5" s="64" t="s">
        <v>52</v>
      </c>
      <c r="D5" s="64" t="s">
        <v>53</v>
      </c>
      <c r="E5" s="64" t="s">
        <v>54</v>
      </c>
      <c r="F5" s="64" t="s">
        <v>55</v>
      </c>
      <c r="G5" s="65" t="s">
        <v>56</v>
      </c>
      <c r="H5" s="66" t="s">
        <v>57</v>
      </c>
      <c r="I5" s="67" t="s">
        <v>58</v>
      </c>
      <c r="J5" s="64" t="s">
        <v>59</v>
      </c>
      <c r="K5" s="64" t="s">
        <v>60</v>
      </c>
      <c r="L5" s="64" t="s">
        <v>61</v>
      </c>
      <c r="M5" s="64" t="s">
        <v>62</v>
      </c>
      <c r="N5" s="64" t="s">
        <v>63</v>
      </c>
      <c r="O5" s="65" t="s">
        <v>64</v>
      </c>
      <c r="P5" s="66" t="s">
        <v>65</v>
      </c>
      <c r="Q5" s="67" t="s">
        <v>66</v>
      </c>
      <c r="R5" s="64" t="s">
        <v>67</v>
      </c>
      <c r="S5" s="64" t="s">
        <v>68</v>
      </c>
      <c r="T5" s="64" t="s">
        <v>69</v>
      </c>
      <c r="U5" s="64" t="s">
        <v>70</v>
      </c>
      <c r="V5" s="64" t="s">
        <v>71</v>
      </c>
      <c r="W5" s="64" t="s">
        <v>72</v>
      </c>
      <c r="X5" s="64" t="s">
        <v>73</v>
      </c>
      <c r="Y5" s="64" t="s">
        <v>74</v>
      </c>
      <c r="Z5" s="64" t="s">
        <v>75</v>
      </c>
      <c r="AA5" s="64" t="s">
        <v>76</v>
      </c>
      <c r="AB5" s="64" t="s">
        <v>77</v>
      </c>
      <c r="AC5" s="65" t="s">
        <v>78</v>
      </c>
      <c r="AD5" s="66" t="s">
        <v>79</v>
      </c>
    </row>
    <row r="6" spans="1:39" s="11" customFormat="1" ht="21" customHeight="1">
      <c r="A6" s="5" t="s">
        <v>80</v>
      </c>
      <c r="B6" s="69" t="s">
        <v>81</v>
      </c>
      <c r="C6" s="70" t="s">
        <v>82</v>
      </c>
      <c r="D6" s="70" t="s">
        <v>83</v>
      </c>
      <c r="E6" s="69" t="s">
        <v>84</v>
      </c>
      <c r="F6" s="70" t="s">
        <v>85</v>
      </c>
      <c r="G6" s="71" t="s">
        <v>86</v>
      </c>
      <c r="H6" s="72" t="s">
        <v>87</v>
      </c>
      <c r="I6" s="73" t="s">
        <v>88</v>
      </c>
      <c r="J6" s="70" t="s">
        <v>89</v>
      </c>
      <c r="K6" s="69" t="s">
        <v>90</v>
      </c>
      <c r="L6" s="70" t="s">
        <v>91</v>
      </c>
      <c r="M6" s="69" t="s">
        <v>92</v>
      </c>
      <c r="N6" s="70" t="s">
        <v>93</v>
      </c>
      <c r="O6" s="71" t="s">
        <v>94</v>
      </c>
      <c r="P6" s="72" t="s">
        <v>95</v>
      </c>
      <c r="Q6" s="73" t="s">
        <v>96</v>
      </c>
      <c r="R6" s="70" t="s">
        <v>97</v>
      </c>
      <c r="S6" s="69" t="s">
        <v>98</v>
      </c>
      <c r="T6" s="70" t="s">
        <v>99</v>
      </c>
      <c r="U6" s="69" t="s">
        <v>100</v>
      </c>
      <c r="V6" s="70" t="s">
        <v>101</v>
      </c>
      <c r="W6" s="69" t="s">
        <v>102</v>
      </c>
      <c r="X6" s="70" t="s">
        <v>103</v>
      </c>
      <c r="Y6" s="69" t="s">
        <v>104</v>
      </c>
      <c r="Z6" s="70" t="s">
        <v>105</v>
      </c>
      <c r="AA6" s="69" t="s">
        <v>106</v>
      </c>
      <c r="AB6" s="70" t="s">
        <v>107</v>
      </c>
      <c r="AC6" s="71" t="s">
        <v>108</v>
      </c>
      <c r="AD6" s="72" t="s">
        <v>109</v>
      </c>
    </row>
    <row r="7" spans="1:39" s="15" customFormat="1" ht="15" customHeight="1">
      <c r="A7" s="6" t="s">
        <v>110</v>
      </c>
      <c r="B7" s="74"/>
      <c r="C7" s="74"/>
      <c r="D7" s="74"/>
      <c r="E7" s="74"/>
      <c r="F7" s="74"/>
      <c r="G7" s="75"/>
      <c r="H7" s="76"/>
      <c r="I7" s="77"/>
      <c r="J7" s="74"/>
      <c r="K7" s="74"/>
      <c r="L7" s="74"/>
      <c r="M7" s="74"/>
      <c r="N7" s="74"/>
      <c r="O7" s="75"/>
      <c r="P7" s="76"/>
      <c r="Q7" s="77"/>
      <c r="R7" s="74"/>
      <c r="S7" s="74"/>
      <c r="T7" s="74"/>
      <c r="U7" s="74"/>
      <c r="V7" s="74"/>
      <c r="W7" s="74"/>
      <c r="X7" s="74"/>
      <c r="Y7" s="74"/>
      <c r="Z7" s="74"/>
      <c r="AA7" s="74"/>
      <c r="AB7" s="74"/>
      <c r="AC7" s="75"/>
      <c r="AD7" s="76"/>
      <c r="AE7" s="11"/>
      <c r="AF7" s="11"/>
      <c r="AG7" s="11"/>
      <c r="AH7" s="11"/>
      <c r="AI7" s="11"/>
      <c r="AJ7" s="11"/>
    </row>
    <row r="8" spans="1:39" s="11" customFormat="1" ht="15" customHeight="1">
      <c r="A8" s="6" t="s">
        <v>111</v>
      </c>
      <c r="B8" s="74" t="s">
        <v>112</v>
      </c>
      <c r="C8" s="74" t="s">
        <v>112</v>
      </c>
      <c r="D8" s="74" t="s">
        <v>112</v>
      </c>
      <c r="E8" s="74" t="s">
        <v>112</v>
      </c>
      <c r="F8" s="74" t="s">
        <v>113</v>
      </c>
      <c r="G8" s="75" t="s">
        <v>112</v>
      </c>
      <c r="H8" s="76" t="s">
        <v>114</v>
      </c>
      <c r="I8" s="77" t="s">
        <v>115</v>
      </c>
      <c r="J8" s="74" t="s">
        <v>116</v>
      </c>
      <c r="K8" s="74" t="s">
        <v>116</v>
      </c>
      <c r="L8" s="74" t="s">
        <v>116</v>
      </c>
      <c r="M8" s="74" t="s">
        <v>116</v>
      </c>
      <c r="N8" s="74" t="s">
        <v>116</v>
      </c>
      <c r="O8" s="75" t="s">
        <v>116</v>
      </c>
      <c r="P8" s="76" t="s">
        <v>116</v>
      </c>
      <c r="Q8" s="77" t="s">
        <v>116</v>
      </c>
      <c r="R8" s="74" t="s">
        <v>116</v>
      </c>
      <c r="S8" s="74" t="s">
        <v>116</v>
      </c>
      <c r="T8" s="74" t="s">
        <v>116</v>
      </c>
      <c r="U8" s="74" t="s">
        <v>116</v>
      </c>
      <c r="V8" s="74" t="s">
        <v>116</v>
      </c>
      <c r="W8" s="74" t="s">
        <v>116</v>
      </c>
      <c r="X8" s="74" t="s">
        <v>116</v>
      </c>
      <c r="Y8" s="74" t="s">
        <v>116</v>
      </c>
      <c r="Z8" s="74" t="s">
        <v>116</v>
      </c>
      <c r="AA8" s="74" t="s">
        <v>116</v>
      </c>
      <c r="AB8" s="74" t="s">
        <v>116</v>
      </c>
      <c r="AC8" s="75" t="s">
        <v>116</v>
      </c>
      <c r="AD8" s="76" t="s">
        <v>116</v>
      </c>
    </row>
    <row r="9" spans="1:39" s="11" customFormat="1" ht="15" customHeight="1">
      <c r="A9" s="6" t="s">
        <v>117</v>
      </c>
      <c r="B9" s="74"/>
      <c r="C9" s="74"/>
      <c r="D9" s="74"/>
      <c r="E9" s="74"/>
      <c r="F9" s="74"/>
      <c r="G9" s="75"/>
      <c r="H9" s="76"/>
      <c r="I9" s="77"/>
      <c r="J9" s="74"/>
      <c r="K9" s="74"/>
      <c r="L9" s="74"/>
      <c r="M9" s="74"/>
      <c r="N9" s="74"/>
      <c r="O9" s="75"/>
      <c r="P9" s="76"/>
      <c r="Q9" s="77"/>
      <c r="R9" s="74"/>
      <c r="S9" s="74"/>
      <c r="T9" s="74"/>
      <c r="U9" s="74"/>
      <c r="V9" s="74"/>
      <c r="W9" s="74"/>
      <c r="X9" s="74"/>
      <c r="Y9" s="74"/>
      <c r="Z9" s="74"/>
      <c r="AA9" s="74"/>
      <c r="AB9" s="74"/>
      <c r="AC9" s="75"/>
      <c r="AD9" s="76"/>
    </row>
    <row r="10" spans="1:39" s="15" customFormat="1" ht="98.25" customHeight="1">
      <c r="A10" s="6" t="s">
        <v>118</v>
      </c>
      <c r="B10" s="78" t="str">
        <f>IFERROR(LOOKUP(2, 1/((Validations_ext!$B$2:$B$2004=$B$2)*(Validations_ext!$C$2:$C$2004=$B6)), Validations_ext!$J$2:$J$2004), "OK")</f>
        <v>ERROR: C0010 is mandatory</v>
      </c>
      <c r="C10" s="78" t="str">
        <f>IFERROR(LOOKUP(2, 1/((Validations_ext!$B$2:$B$2004=$B$2)*(Validations_ext!$C$2:$C$2004=$C6)), Validations_ext!$J$2:$J$2004), "OK")</f>
        <v>ERROR: C0020 is mandatory</v>
      </c>
      <c r="D10" s="79" t="str">
        <f>IFERROR(LOOKUP(2, 1/((Validations_ext!$B$2:$B$2004=$B$2)*(Validations_ext!$C$2:$C$2004=$D6)), Validations_ext!$J$2:$J$2004), "OK")</f>
        <v>ERROR: C0030 is mandatory</v>
      </c>
      <c r="E10" s="79" t="str">
        <f>IFERROR(LOOKUP(2, 1/((Validations_ext!$B$2:$B$2004=$B$2)*(Validations_ext!$C$2:$C$2004=$E6)), Validations_ext!$J$2:$J$2004), "OK")</f>
        <v>OK</v>
      </c>
      <c r="F10" s="78" t="str">
        <f ca="1">IFERROR(LOOKUP(2, 1/((Validations_ext!$B$2:$B$2004=$B$2)*(Validations_ext!$C$2:$C$2004=$F6)), Validations_ext!$J$2:$J$2004), "OK")</f>
        <v>ERROR: C0050 is mandatory</v>
      </c>
      <c r="G10" s="80"/>
      <c r="H10" s="81" t="str">
        <f ca="1">IFERROR(LOOKUP(2, 1/((Validations_ext!$B$2:$B$2004=$B$2)*(Validations_ext!$C$2:$C$2004=$H6)), Validations_ext!$J$2:$J$2004), "OK")</f>
        <v>ERROR: C0070 is mandatory</v>
      </c>
      <c r="I10" s="82" t="str">
        <f ca="1">IFERROR(LOOKUP(2, 1/((Validations_ext!$B$2:$B$2004=$B$2)*(Validations_ext!$C$2:$C$2004=$I6)), Validations_ext!$J$2:$J$2004), "OK")</f>
        <v>ERROR: C0080 is mandatory</v>
      </c>
      <c r="J10" s="78" t="str">
        <f ca="1">IFERROR(LOOKUP(2, 1/((Validations_ext!$B$2:$B$2004=$B$2)*(Validations_ext!$C$2:$C$2004=$J6)), Validations_ext!$J$2:$J$2004), "OK")</f>
        <v>ERROR: C0090 is mandatory</v>
      </c>
      <c r="K10" s="78" t="str">
        <f ca="1">IFERROR(LOOKUP(2, 1/((Validations_ext!$B$2:$B$2004=$B$2)*(Validations_ext!$C$2:$C$2004=$K6)), Validations_ext!$J$2:$J$2004), "OK")</f>
        <v>ERROR: C0100 is mandatory</v>
      </c>
      <c r="L10" s="78" t="str">
        <f ca="1">IFERROR(LOOKUP(2, 1/((Validations_ext!$B$2:$B$2004=$B$2)*(Validations_ext!$C$2:$C$2004=$L6)), Validations_ext!$J$2:$J$2004), "OK")</f>
        <v>ERROR: C0110 is mandatory</v>
      </c>
      <c r="M10" s="78" t="str">
        <f ca="1">IFERROR(LOOKUP(2, 1/((Validations_ext!$B$2:$B$2004=$B$2)*(Validations_ext!$C$2:$C$2004=$M6)), Validations_ext!$J$2:$J$2004), "OK")</f>
        <v>ERROR: C0120 is mandatory</v>
      </c>
      <c r="N10" s="78" t="str">
        <f ca="1">IFERROR(LOOKUP(2, 1/((Validations_ext!$B$2:$B$2004=$B$2)*(Validations_ext!$C$2:$C$2004=$N6)), Validations_ext!$J$2:$J$2004), "OK")</f>
        <v>ERROR: C0130 is mandatory</v>
      </c>
      <c r="O10" s="80" t="str">
        <f ca="1">IFERROR(LOOKUP(2, 1/((Validations_ext!$B$2:$B$2004=$B$2)*(Validations_ext!$C$2:$C$2004=$O6)), Validations_ext!$J$2:$J$2004), "OK")</f>
        <v>ERROR: C0140 is mandatory</v>
      </c>
      <c r="P10" s="81" t="str">
        <f ca="1">IFERROR(LOOKUP(2, 1/((Validations_ext!$B$2:$B$2004=$B$2)*(Validations_ext!$C$2:$C$2004=$P6)), Validations_ext!$J$2:$J$2004), "OK")</f>
        <v>ERROR: C0150 is mandatory</v>
      </c>
      <c r="Q10" s="82" t="str">
        <f ca="1">IFERROR(LOOKUP(2, 1/((Validations_ext!$B$2:$B$2004=$B$2)*(Validations_ext!$C$2:$C$2004=$Q6)), Validations_ext!$J$2:$J$2004), "OK")</f>
        <v>ERROR: C0160 is mandatory</v>
      </c>
      <c r="R10" s="78" t="str">
        <f ca="1">IFERROR(LOOKUP(2, 1/((Validations_ext!$B$2:$B$2004=$B$2)*(Validations_ext!$C$2:$C$2004=$R6)), Validations_ext!$J$2:$J$2004), "OK")</f>
        <v>ERROR: C0170 is mandatory</v>
      </c>
      <c r="S10" s="78" t="str">
        <f ca="1">IFERROR(LOOKUP(2, 1/((Validations_ext!$B$2:$B$2004=$B$2)*(Validations_ext!$C$2:$C$2004=$S6)), Validations_ext!$J$2:$J$2004), "OK")</f>
        <v>ERROR: C0180 is mandatory</v>
      </c>
      <c r="T10" s="78" t="str">
        <f ca="1">IFERROR(LOOKUP(2, 1/((Validations_ext!$B$2:$B$2004=$B$2)*(Validations_ext!$C$2:$C$2004=$T6)), Validations_ext!$J$2:$J$2004), "OK")</f>
        <v>ERROR: C0190 is mandatory</v>
      </c>
      <c r="U10" s="78" t="str">
        <f ca="1">IFERROR(LOOKUP(2, 1/((Validations_ext!$B$2:$B$2004=$B$2)*(Validations_ext!$C$2:$C$2004=$U6)), Validations_ext!$J$2:$J$2004), "OK")</f>
        <v>ERROR: C0200 is mandatory</v>
      </c>
      <c r="V10" s="78" t="str">
        <f ca="1">IFERROR(LOOKUP(2, 1/((Validations_ext!$B$2:$B$2004=$B$2)*(Validations_ext!$C$2:$C$2004=$V6)), Validations_ext!$J$2:$J$2004), "OK")</f>
        <v>ERROR: C0210 is mandatory</v>
      </c>
      <c r="W10" s="78" t="str">
        <f ca="1">IFERROR(LOOKUP(2, 1/((Validations_ext!$B$2:$B$2004=$B$2)*(Validations_ext!$C$2:$C$2004=$W6)), Validations_ext!$J$2:$J$2004), "OK")</f>
        <v>ERROR: C0220 is mandatory</v>
      </c>
      <c r="X10" s="78" t="str" cm="1">
        <f t="array" aca="1" ref="X10" ca="1">IFERROR(LOOKUP(2, 1/((Validations_ext!$B$2:$B$2004=$B$2)*(Validations_ext!$C$2:$C$2004=$X6)), Validations_ext!$J$2:$J$2004), "OK")</f>
        <v>ERROR: C0230 is mandatory</v>
      </c>
      <c r="Y10" s="78" t="str">
        <f ca="1">IFERROR(LOOKUP(2, 1/((Validations_ext!$B$2:$B$2004=$B$2)*(Validations_ext!$C$2:$C$2004=$Y6)), Validations_ext!$J$2:$J$2004), "OK")</f>
        <v>ERROR: C0240 is mandatory</v>
      </c>
      <c r="Z10" s="78" t="str">
        <f ca="1">IFERROR(LOOKUP(2, 1/((Validations_ext!$B$2:$B$2004=$B$2)*(Validations_ext!$C$2:$C$2004=$Z6)), Validations_ext!$J$2:$J$2004), "OK")</f>
        <v>ERROR: C0250 is mandatory</v>
      </c>
      <c r="AA10" s="78" t="str">
        <f ca="1">IFERROR(LOOKUP(2, 1/((Validations_ext!$B$2:$B$2004=$B$2)*(Validations_ext!$C$2:$C$2004=$AA6)), Validations_ext!$J$2:$J$2004), "OK")</f>
        <v>ERROR: C0260 is mandatory</v>
      </c>
      <c r="AB10" s="78" t="str">
        <f ca="1">IFERROR(LOOKUP(2, 1/((Validations_ext!$B$2:$B$2004=$B$2)*(Validations_ext!$C$2:$C$2004=$AB6)), Validations_ext!$J$2:$J$2004), "OK")</f>
        <v>ERROR: C0270 is mandatory</v>
      </c>
      <c r="AC10" s="80" t="str">
        <f ca="1">IFERROR(LOOKUP(2, 1/((Validations_ext!$B$2:$B$2004=$B$2)*(Validations_ext!$C$2:$C$2004=$AC6)), Validations_ext!$J$2:$J$2004), "OK")</f>
        <v>ERROR: C0270 is mandatory</v>
      </c>
      <c r="AD10" s="81" t="str">
        <f ca="1">IFERROR(LOOKUP(2, 1/((Validations_ext!$B$2:$B$2004=$B$2)*(Validations_ext!$C$2:$C$2004=$AD6)), Validations_ext!$J$2:$J$2004), "OK")</f>
        <v>ERROR: C0270 is mandatory</v>
      </c>
      <c r="AE10" s="11"/>
      <c r="AF10" s="11"/>
      <c r="AG10" s="11"/>
      <c r="AH10" s="11"/>
      <c r="AI10" s="11"/>
      <c r="AJ10" s="11"/>
      <c r="AK10" s="11"/>
      <c r="AL10" s="11"/>
      <c r="AM10" s="11"/>
    </row>
    <row r="11" spans="1:39" s="84" customFormat="1" ht="31.5" customHeight="1">
      <c r="A11" s="4" t="s">
        <v>119</v>
      </c>
      <c r="B11" s="10"/>
      <c r="C11" s="10"/>
      <c r="D11" s="10"/>
      <c r="E11" s="10"/>
      <c r="F11" s="88"/>
      <c r="G11" s="10"/>
      <c r="H11" s="88"/>
      <c r="I11" s="88"/>
      <c r="J11" s="88"/>
      <c r="K11" s="88"/>
      <c r="L11" s="88"/>
      <c r="M11" s="88"/>
      <c r="N11" s="88"/>
      <c r="O11" s="88"/>
      <c r="P11" s="88"/>
      <c r="Q11" s="88"/>
      <c r="R11" s="88"/>
      <c r="S11" s="88"/>
      <c r="T11" s="88"/>
      <c r="U11" s="88"/>
      <c r="V11" s="88"/>
      <c r="W11" s="88"/>
      <c r="X11" s="88"/>
      <c r="Y11" s="88"/>
      <c r="Z11" s="88"/>
      <c r="AA11" s="88"/>
      <c r="AB11" s="88"/>
      <c r="AC11" s="88"/>
      <c r="AD11" s="88"/>
    </row>
    <row r="12" spans="1:39" ht="15" customHeight="1">
      <c r="A12" s="85"/>
      <c r="C12"/>
      <c r="D12"/>
      <c r="E12"/>
      <c r="F12"/>
      <c r="G12"/>
      <c r="H12" s="86"/>
      <c r="I12" s="86"/>
      <c r="R12" s="87"/>
    </row>
  </sheetData>
  <sheetProtection algorithmName="SHA-512" hashValue="1qSf8d/k1Pz685p+NOxxqds0zaMMQNwujVBwdtpfiXQ8avQmN/61vHD3JlUj7nYdt7sRh2xd5zYYJs62YkYc9Q==" saltValue="z/tBPaB7udhvIGt4q49quQ==" spinCount="100000" sheet="1" objects="1" scenarios="1"/>
  <mergeCells count="6">
    <mergeCell ref="R4:AD4"/>
    <mergeCell ref="A2:A3"/>
    <mergeCell ref="B1:F1"/>
    <mergeCell ref="B4:H4"/>
    <mergeCell ref="J4:P4"/>
    <mergeCell ref="C2:K2"/>
  </mergeCells>
  <phoneticPr fontId="4" type="noConversion"/>
  <conditionalFormatting sqref="B10:AD10">
    <cfRule type="expression" dxfId="62" priority="2">
      <formula>ISNUMBER(SEARCH("error",B10))</formula>
    </cfRule>
  </conditionalFormatting>
  <conditionalFormatting sqref="B12:AD12">
    <cfRule type="expression" dxfId="61" priority="3">
      <formula>MOD(ROW(),2)=0</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4">
        <x14:dataValidation type="list" allowBlank="1" showInputMessage="1" showErrorMessage="1" xr:uid="{8FC64ADE-3E73-4EC9-A8DD-5BA1D5BD4741}">
          <x14:formula1>
            <xm:f>Lists!$M$2:$M$28</xm:f>
          </x14:formula1>
          <xm:sqref>H11</xm:sqref>
        </x14:dataValidation>
        <x14:dataValidation type="list" allowBlank="1" showInputMessage="1" showErrorMessage="1" xr:uid="{558C7A9D-74F2-428E-BCD8-C4FE2DC34CBE}">
          <x14:formula1>
            <xm:f>Lists!$Q$2:$Q$8</xm:f>
          </x14:formula1>
          <xm:sqref>I11</xm:sqref>
        </x14:dataValidation>
        <x14:dataValidation type="list" allowBlank="1" showInputMessage="1" showErrorMessage="1" xr:uid="{4C6F3658-1CDB-4D54-A8FF-87C1DEE89D63}">
          <x14:formula1>
            <xm:f>Lists!$Y$2:$Y$3</xm:f>
          </x14:formula1>
          <xm:sqref>J11 K11 L11 M11 N11 O11 P11 Q11 R11 S11 T11 U11 V11 W11 X11 Y11 Z11 AA11 AB11 AC11 AD11</xm:sqref>
        </x14:dataValidation>
        <x14:dataValidation type="list" allowBlank="1" showInputMessage="1" showErrorMessage="1" xr:uid="{7D689827-F096-4DD4-9E85-EB551FDBFFA0}">
          <x14:formula1>
            <xm:f>Lists!$I$2:$I$11</xm:f>
          </x14:formula1>
          <xm:sqref>F11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6A04-17F7-4558-AA82-E8022673BD21}">
  <sheetPr codeName="Sheet26"/>
  <dimension ref="A1:CV14"/>
  <sheetViews>
    <sheetView topLeftCell="A2" zoomScale="82" zoomScaleNormal="82"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19" width="27.7109375" customWidth="1"/>
  </cols>
  <sheetData>
    <row r="1" spans="1:100" s="57" customFormat="1" ht="2.25" customHeight="1">
      <c r="A1" s="54"/>
      <c r="C1" s="122"/>
      <c r="D1"/>
      <c r="E1"/>
      <c r="F1"/>
      <c r="G1"/>
      <c r="H1"/>
      <c r="I1"/>
      <c r="J1"/>
      <c r="K1"/>
      <c r="L1"/>
      <c r="M1"/>
      <c r="N1"/>
      <c r="O1"/>
      <c r="P1"/>
      <c r="Q1"/>
      <c r="R1"/>
      <c r="S1"/>
      <c r="T1"/>
      <c r="U1"/>
      <c r="V1"/>
    </row>
    <row r="2" spans="1:100" ht="75.75" customHeight="1">
      <c r="A2" s="187" t="s">
        <v>43</v>
      </c>
      <c r="B2" s="58" t="s">
        <v>265</v>
      </c>
      <c r="C2" s="190" t="s">
        <v>266</v>
      </c>
      <c r="D2" s="193"/>
      <c r="E2" s="190"/>
      <c r="F2" s="193"/>
      <c r="G2" s="190"/>
      <c r="H2" s="193"/>
      <c r="I2" s="190"/>
      <c r="J2" s="193"/>
      <c r="K2" s="15"/>
      <c r="L2" s="15"/>
      <c r="M2" s="15"/>
      <c r="N2" s="15"/>
      <c r="O2" s="15"/>
      <c r="P2" s="15"/>
      <c r="Q2" s="15"/>
      <c r="R2" s="15"/>
      <c r="S2" s="15"/>
      <c r="T2" s="15"/>
      <c r="U2" s="15"/>
    </row>
    <row r="3" spans="1:100" s="60" customFormat="1" ht="76.5" customHeight="1">
      <c r="A3" s="187"/>
      <c r="B3" s="59"/>
    </row>
    <row r="4" spans="1:100" s="57" customFormat="1" ht="24" customHeight="1">
      <c r="A4" s="61" t="s">
        <v>46</v>
      </c>
      <c r="B4" s="184" t="s">
        <v>267</v>
      </c>
      <c r="C4" s="184"/>
      <c r="D4" s="185"/>
      <c r="E4" s="186"/>
      <c r="F4" s="194" t="s">
        <v>268</v>
      </c>
      <c r="G4" s="184"/>
      <c r="H4" s="185"/>
      <c r="I4" s="186"/>
      <c r="J4" s="194" t="s">
        <v>269</v>
      </c>
      <c r="K4" s="184"/>
      <c r="L4" s="184"/>
      <c r="M4" s="185"/>
      <c r="N4" s="186"/>
      <c r="O4" s="194" t="s">
        <v>270</v>
      </c>
      <c r="P4" s="184"/>
      <c r="Q4" s="184"/>
      <c r="R4" s="185"/>
      <c r="S4" s="186"/>
      <c r="T4"/>
    </row>
    <row r="5" spans="1:100" s="15" customFormat="1" ht="78.75" customHeight="1">
      <c r="A5" s="7" t="s">
        <v>50</v>
      </c>
      <c r="B5" s="99" t="s">
        <v>271</v>
      </c>
      <c r="C5" s="99" t="s">
        <v>272</v>
      </c>
      <c r="D5" s="100" t="s">
        <v>273</v>
      </c>
      <c r="E5" s="101" t="s">
        <v>274</v>
      </c>
      <c r="F5" s="102" t="s">
        <v>275</v>
      </c>
      <c r="G5" s="99" t="s">
        <v>276</v>
      </c>
      <c r="H5" s="100" t="s">
        <v>277</v>
      </c>
      <c r="I5" s="101" t="s">
        <v>278</v>
      </c>
      <c r="J5" s="102" t="s">
        <v>279</v>
      </c>
      <c r="K5" s="99" t="s">
        <v>280</v>
      </c>
      <c r="L5" s="99" t="s">
        <v>281</v>
      </c>
      <c r="M5" s="100" t="s">
        <v>282</v>
      </c>
      <c r="N5" s="101" t="s">
        <v>283</v>
      </c>
      <c r="O5" s="102" t="s">
        <v>284</v>
      </c>
      <c r="P5" s="99" t="s">
        <v>285</v>
      </c>
      <c r="Q5" s="99" t="s">
        <v>286</v>
      </c>
      <c r="R5" s="100" t="s">
        <v>287</v>
      </c>
      <c r="S5" s="101" t="s">
        <v>288</v>
      </c>
    </row>
    <row r="6" spans="1:100" ht="21" customHeight="1">
      <c r="A6" s="5" t="s">
        <v>80</v>
      </c>
      <c r="B6" s="69" t="s">
        <v>81</v>
      </c>
      <c r="C6" s="69" t="s">
        <v>82</v>
      </c>
      <c r="D6" s="71" t="s">
        <v>83</v>
      </c>
      <c r="E6" s="115" t="s">
        <v>84</v>
      </c>
      <c r="F6" s="73" t="s">
        <v>85</v>
      </c>
      <c r="G6" s="69" t="s">
        <v>86</v>
      </c>
      <c r="H6" s="71" t="s">
        <v>87</v>
      </c>
      <c r="I6" s="115" t="s">
        <v>88</v>
      </c>
      <c r="J6" s="73" t="s">
        <v>89</v>
      </c>
      <c r="K6" s="69" t="s">
        <v>90</v>
      </c>
      <c r="L6" s="69" t="s">
        <v>91</v>
      </c>
      <c r="M6" s="71" t="s">
        <v>92</v>
      </c>
      <c r="N6" s="115" t="s">
        <v>93</v>
      </c>
      <c r="O6" s="73" t="s">
        <v>94</v>
      </c>
      <c r="P6" s="69" t="s">
        <v>95</v>
      </c>
      <c r="Q6" s="69" t="s">
        <v>96</v>
      </c>
      <c r="R6" s="71" t="s">
        <v>97</v>
      </c>
      <c r="S6" s="115" t="s">
        <v>98</v>
      </c>
    </row>
    <row r="7" spans="1:100" s="16" customFormat="1" ht="15" customHeight="1">
      <c r="A7" s="6" t="s">
        <v>110</v>
      </c>
      <c r="B7" s="74" t="s">
        <v>150</v>
      </c>
      <c r="C7" s="74" t="s">
        <v>150</v>
      </c>
      <c r="D7" s="75" t="s">
        <v>150</v>
      </c>
      <c r="E7" s="76" t="s">
        <v>150</v>
      </c>
      <c r="F7" s="77" t="s">
        <v>150</v>
      </c>
      <c r="G7" s="74" t="s">
        <v>150</v>
      </c>
      <c r="H7" s="75" t="s">
        <v>150</v>
      </c>
      <c r="I7" s="76" t="s">
        <v>150</v>
      </c>
      <c r="J7" s="77" t="s">
        <v>150</v>
      </c>
      <c r="K7" s="74" t="s">
        <v>150</v>
      </c>
      <c r="L7" s="74" t="s">
        <v>150</v>
      </c>
      <c r="M7" s="75" t="s">
        <v>150</v>
      </c>
      <c r="N7" s="76" t="s">
        <v>150</v>
      </c>
      <c r="O7" s="77" t="s">
        <v>150</v>
      </c>
      <c r="P7" s="74" t="s">
        <v>150</v>
      </c>
      <c r="Q7" s="74" t="s">
        <v>150</v>
      </c>
      <c r="R7" s="75" t="s">
        <v>150</v>
      </c>
      <c r="S7" s="76" t="s">
        <v>150</v>
      </c>
      <c r="T7"/>
    </row>
    <row r="8" spans="1:100" ht="15" customHeight="1">
      <c r="A8" s="6" t="s">
        <v>111</v>
      </c>
      <c r="B8" s="74" t="s">
        <v>158</v>
      </c>
      <c r="C8" s="74" t="s">
        <v>151</v>
      </c>
      <c r="D8" s="75" t="s">
        <v>151</v>
      </c>
      <c r="E8" s="76" t="s">
        <v>151</v>
      </c>
      <c r="F8" s="77" t="s">
        <v>158</v>
      </c>
      <c r="G8" s="74" t="s">
        <v>151</v>
      </c>
      <c r="H8" s="75" t="s">
        <v>151</v>
      </c>
      <c r="I8" s="76" t="s">
        <v>151</v>
      </c>
      <c r="J8" s="77" t="s">
        <v>158</v>
      </c>
      <c r="K8" s="74" t="s">
        <v>151</v>
      </c>
      <c r="L8" s="74" t="s">
        <v>151</v>
      </c>
      <c r="M8" s="75" t="s">
        <v>151</v>
      </c>
      <c r="N8" s="76" t="s">
        <v>151</v>
      </c>
      <c r="O8" s="77" t="s">
        <v>158</v>
      </c>
      <c r="P8" s="74" t="s">
        <v>151</v>
      </c>
      <c r="Q8" s="74" t="s">
        <v>151</v>
      </c>
      <c r="R8" s="75" t="s">
        <v>151</v>
      </c>
      <c r="S8" s="76" t="s">
        <v>151</v>
      </c>
    </row>
    <row r="9" spans="1:100" ht="15" customHeight="1">
      <c r="A9" s="6" t="s">
        <v>117</v>
      </c>
      <c r="B9" s="74"/>
      <c r="C9" s="74"/>
      <c r="D9" s="75"/>
      <c r="E9" s="76"/>
      <c r="F9" s="77"/>
      <c r="G9" s="74"/>
      <c r="H9" s="75"/>
      <c r="I9" s="76"/>
      <c r="J9" s="77"/>
      <c r="K9" s="74"/>
      <c r="L9" s="74"/>
      <c r="M9" s="75"/>
      <c r="N9" s="76"/>
      <c r="O9" s="77"/>
      <c r="P9" s="74"/>
      <c r="Q9" s="74"/>
      <c r="R9" s="75"/>
      <c r="S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80" t="str">
        <f>IFERROR(LOOKUP(2, 1/((Validations_ext!$B$2:$B$2004=$B$2)*(Validations_ext!$C$2:$C$2004=$D6)), Validations_ext!$J$2:$J$2004), "OK")</f>
        <v>OK</v>
      </c>
      <c r="E10" s="81" t="str">
        <f>IFERROR(LOOKUP(2, 1/((Validations_ext!$B$2:$B$2004=$B$2)*(Validations_ext!$C$2:$C$2004=$E6)), Validations_ext!$J$2:$J$2004), "OK")</f>
        <v>OK</v>
      </c>
      <c r="F10" s="82" t="str">
        <f>IFERROR(LOOKUP(2, 1/((Validations_ext!$B$2:$B$2004=$B$2)*(Validations_ext!$C$2:$C$2004=$F6)), Validations_ext!$J$2:$J$2004), "OK")</f>
        <v>OK</v>
      </c>
      <c r="G10" s="78" t="str">
        <f>IFERROR(LOOKUP(2, 1/((Validations_ext!$B$2:$B$2004=$B$2)*(Validations_ext!$C$2:$C$2004=$G6)), Validations_ext!$J$2:$J$2004), "OK")</f>
        <v>OK</v>
      </c>
      <c r="H10" s="80" t="str">
        <f>IFERROR(LOOKUP(2, 1/((Validations_ext!$B$2:$B$2004=$B$2)*(Validations_ext!$C$2:$C$2004=$H6)), Validations_ext!$J$2:$J$2004), "OK")</f>
        <v>OK</v>
      </c>
      <c r="I10" s="81" t="str">
        <f>IFERROR(LOOKUP(2, 1/((Validations_ext!$B$2:$B$2004=$B$2)*(Validations_ext!$C$2:$C$2004=$I6)), Validations_ext!$J$2:$J$2004), "OK")</f>
        <v>OK</v>
      </c>
      <c r="J10" s="82" t="str">
        <f>IFERROR(LOOKUP(2, 1/((Validations_ext!$B$2:$B$2004=$B$2)*(Validations_ext!$C$2:$C$2004=$J6)), Validations_ext!$J$2:$J$2004), "OK")</f>
        <v>OK</v>
      </c>
      <c r="K10" s="78" t="str">
        <f>IFERROR(LOOKUP(2, 1/((Validations_ext!$B$2:$B$2004=$B$2)*(Validations_ext!$C$2:$C$2004=$K6)), Validations_ext!$J$2:$J$2004), "OK")</f>
        <v>OK</v>
      </c>
      <c r="L10" s="78" t="str">
        <f>IFERROR(LOOKUP(2, 1/((Validations_ext!$B$2:$B$2004=$B$2)*(Validations_ext!$C$2:$C$2004=$L6)), Validations_ext!$J$2:$J$2004), "OK")</f>
        <v>OK</v>
      </c>
      <c r="M10" s="80" t="str">
        <f>IFERROR(LOOKUP(2, 1/((Validations_ext!$B$2:$B$2004=$B$2)*(Validations_ext!$C$2:$C$2004=$M6)), Validations_ext!$J$2:$J$2004), "OK")</f>
        <v>OK</v>
      </c>
      <c r="N10" s="81" t="str">
        <f>IFERROR(LOOKUP(2, 1/((Validations_ext!$B$2:$B$2004=$B$2)*(Validations_ext!$C$2:$C$2004=$N6)), Validations_ext!$J$2:$J$2004), "OK")</f>
        <v>OK</v>
      </c>
      <c r="O10" s="82" t="str">
        <f>IFERROR(LOOKUP(2, 1/((Validations_ext!$B$2:$B$2004=$B$2)*(Validations_ext!$C$2:$C$2004=$O6)), Validations_ext!$J$2:$J$2004), "OK")</f>
        <v>OK</v>
      </c>
      <c r="P10" s="78" t="str">
        <f>IFERROR(LOOKUP(2, 1/((Validations_ext!$B$2:$B$2004=$B$2)*(Validations_ext!$C$2:$C$2004=$P6)), Validations_ext!$J$2:$J$2004), "OK")</f>
        <v>OK</v>
      </c>
      <c r="Q10" s="78" t="str">
        <f>IFERROR(LOOKUP(2, 1/((Validations_ext!$B$2:$B$2004=$B$2)*(Validations_ext!$C$2:$C$2004=$Q6)), Validations_ext!$J$2:$J$2004), "OK")</f>
        <v>OK</v>
      </c>
      <c r="R10" s="80" t="str">
        <f>IFERROR(LOOKUP(2, 1/((Validations_ext!$B$2:$B$2004=$B$2)*(Validations_ext!$C$2:$C$2004=$R6)), Validations_ext!$J$2:$J$2004), "OK")</f>
        <v>OK</v>
      </c>
      <c r="S10" s="81" t="str">
        <f>IFERROR(LOOKUP(2, 1/((Validations_ext!$B$2:$B$2004=$B$2)*(Validations_ext!$C$2:$C$2004=$S6)), Validations_ext!$J$2:$J$2004), "OK")</f>
        <v>OK</v>
      </c>
      <c r="T10"/>
      <c r="U10"/>
      <c r="V10"/>
      <c r="W10"/>
    </row>
    <row r="11" spans="1:100" ht="31.5" customHeight="1">
      <c r="A11" s="4" t="s">
        <v>119</v>
      </c>
      <c r="B11" s="108"/>
      <c r="C11" s="105"/>
      <c r="D11" s="105"/>
      <c r="E11" s="105"/>
      <c r="F11" s="108"/>
      <c r="G11" s="105"/>
      <c r="H11" s="105"/>
      <c r="I11" s="105"/>
      <c r="J11" s="108"/>
      <c r="K11" s="105"/>
      <c r="L11" s="105"/>
      <c r="M11" s="105"/>
      <c r="N11" s="105"/>
      <c r="O11" s="108"/>
      <c r="P11" s="105"/>
      <c r="Q11" s="105"/>
      <c r="R11" s="105"/>
      <c r="S11" s="105"/>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65o+OsnaGt0DdK6aWJR+gX+Kh3oJDUyWwi6yKGvoVHptp+fGXFM02iQn9qpaPrboO2AjYZDNh3my853t/W6dmw==" saltValue="9KBSV5Cqr2Q3BuqcpqFzgA==" spinCount="100000" sheet="1" objects="1" scenarios="1"/>
  <mergeCells count="6">
    <mergeCell ref="A2:A3"/>
    <mergeCell ref="B4:E4"/>
    <mergeCell ref="F4:I4"/>
    <mergeCell ref="J4:N4"/>
    <mergeCell ref="O4:S4"/>
    <mergeCell ref="C2:J2"/>
  </mergeCells>
  <phoneticPr fontId="4" type="noConversion"/>
  <conditionalFormatting sqref="B10:S10">
    <cfRule type="expression" dxfId="27" priority="2">
      <formula>ISNUMBER(SEARCH("error",B10))</formula>
    </cfRule>
  </conditionalFormatting>
  <conditionalFormatting sqref="B12:S12">
    <cfRule type="expression" dxfId="26" priority="1">
      <formula>MOD(ROW(),2)=0</formula>
    </cfRule>
  </conditionalFormatting>
  <dataValidations count="2">
    <dataValidation type="decimal" allowBlank="1" showDropDown="1" showInputMessage="1" showErrorMessage="1" error="Please enter a valid Monetary value" sqref="B11 O11 J11 F11" xr:uid="{E16DBF21-B960-4C00-A109-801B405D2470}">
      <formula1>-999999999999999</formula1>
      <formula2>999999999999999</formula2>
    </dataValidation>
    <dataValidation type="whole" allowBlank="1" showDropDown="1" showInputMessage="1" showErrorMessage="1" error="Please enter a valid Integer" sqref="P11:S11 K11:N11 G11:I11 C11:E11" xr:uid="{8D567385-5C7F-43FA-82C2-2E3DF6B6ED51}">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312AC-4642-41C6-8938-E33E67B00BAF}">
  <sheetPr codeName="Sheet27"/>
  <dimension ref="A1:CV14"/>
  <sheetViews>
    <sheetView zoomScale="88" zoomScaleNormal="88"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10" width="27.7109375" customWidth="1"/>
  </cols>
  <sheetData>
    <row r="1" spans="1:100" s="57" customFormat="1" ht="2.25" customHeight="1">
      <c r="A1" s="54"/>
      <c r="C1" s="122"/>
      <c r="D1"/>
      <c r="E1"/>
      <c r="F1"/>
      <c r="G1"/>
      <c r="H1"/>
      <c r="I1"/>
      <c r="J1"/>
    </row>
    <row r="2" spans="1:100" ht="75.75" customHeight="1">
      <c r="A2" s="187" t="s">
        <v>43</v>
      </c>
      <c r="B2" s="58" t="s">
        <v>289</v>
      </c>
      <c r="C2" s="190" t="s">
        <v>290</v>
      </c>
      <c r="D2" s="193"/>
      <c r="E2" s="190"/>
      <c r="F2" s="193"/>
      <c r="G2" s="190"/>
      <c r="H2" s="193"/>
      <c r="I2" s="190"/>
      <c r="J2" s="193"/>
    </row>
    <row r="3" spans="1:100" s="60" customFormat="1" ht="76.5" customHeight="1">
      <c r="A3" s="187"/>
      <c r="B3" s="59"/>
    </row>
    <row r="4" spans="1:100" s="57" customFormat="1" ht="24" customHeight="1">
      <c r="A4" s="61" t="s">
        <v>46</v>
      </c>
      <c r="B4" s="184" t="s">
        <v>74</v>
      </c>
      <c r="C4" s="185"/>
      <c r="D4" s="186"/>
      <c r="E4" s="194" t="s">
        <v>75</v>
      </c>
      <c r="F4" s="184"/>
      <c r="G4" s="184"/>
      <c r="H4" s="184"/>
      <c r="I4" s="185"/>
      <c r="J4" s="186"/>
    </row>
    <row r="5" spans="1:100" s="15" customFormat="1" ht="78.75" customHeight="1">
      <c r="A5" s="7" t="s">
        <v>50</v>
      </c>
      <c r="B5" s="99" t="s">
        <v>291</v>
      </c>
      <c r="C5" s="100" t="s">
        <v>292</v>
      </c>
      <c r="D5" s="101" t="s">
        <v>293</v>
      </c>
      <c r="E5" s="102" t="s">
        <v>294</v>
      </c>
      <c r="F5" s="99" t="s">
        <v>295</v>
      </c>
      <c r="G5" s="99" t="s">
        <v>296</v>
      </c>
      <c r="H5" s="99" t="s">
        <v>297</v>
      </c>
      <c r="I5" s="100" t="s">
        <v>298</v>
      </c>
      <c r="J5" s="101" t="s">
        <v>299</v>
      </c>
    </row>
    <row r="6" spans="1:100" ht="21" customHeight="1">
      <c r="A6" s="5" t="s">
        <v>80</v>
      </c>
      <c r="B6" s="69" t="s">
        <v>81</v>
      </c>
      <c r="C6" s="71" t="s">
        <v>82</v>
      </c>
      <c r="D6" s="115" t="s">
        <v>83</v>
      </c>
      <c r="E6" s="73" t="s">
        <v>84</v>
      </c>
      <c r="F6" s="69" t="s">
        <v>85</v>
      </c>
      <c r="G6" s="69" t="s">
        <v>86</v>
      </c>
      <c r="H6" s="69" t="s">
        <v>87</v>
      </c>
      <c r="I6" s="71" t="s">
        <v>88</v>
      </c>
      <c r="J6" s="115" t="s">
        <v>89</v>
      </c>
    </row>
    <row r="7" spans="1:100" s="16" customFormat="1" ht="15" customHeight="1">
      <c r="A7" s="6" t="s">
        <v>110</v>
      </c>
      <c r="B7" s="74" t="s">
        <v>149</v>
      </c>
      <c r="C7" s="75" t="s">
        <v>149</v>
      </c>
      <c r="D7" s="76" t="s">
        <v>149</v>
      </c>
      <c r="E7" s="77" t="s">
        <v>149</v>
      </c>
      <c r="F7" s="74" t="s">
        <v>149</v>
      </c>
      <c r="G7" s="74" t="s">
        <v>149</v>
      </c>
      <c r="H7" s="74" t="s">
        <v>149</v>
      </c>
      <c r="I7" s="75" t="s">
        <v>149</v>
      </c>
      <c r="J7" s="76" t="s">
        <v>149</v>
      </c>
    </row>
    <row r="8" spans="1:100" ht="15" customHeight="1">
      <c r="A8" s="6" t="s">
        <v>111</v>
      </c>
      <c r="B8" s="74" t="s">
        <v>151</v>
      </c>
      <c r="C8" s="75" t="s">
        <v>151</v>
      </c>
      <c r="D8" s="76" t="s">
        <v>158</v>
      </c>
      <c r="E8" s="77" t="s">
        <v>151</v>
      </c>
      <c r="F8" s="74" t="s">
        <v>151</v>
      </c>
      <c r="G8" s="74" t="s">
        <v>151</v>
      </c>
      <c r="H8" s="74" t="s">
        <v>151</v>
      </c>
      <c r="I8" s="75" t="s">
        <v>158</v>
      </c>
      <c r="J8" s="76" t="s">
        <v>158</v>
      </c>
    </row>
    <row r="9" spans="1:100" ht="15" customHeight="1">
      <c r="A9" s="6" t="s">
        <v>117</v>
      </c>
      <c r="B9" s="74"/>
      <c r="C9" s="75"/>
      <c r="D9" s="76"/>
      <c r="E9" s="77"/>
      <c r="F9" s="74"/>
      <c r="G9" s="74"/>
      <c r="H9" s="74"/>
      <c r="I9" s="75"/>
      <c r="J9" s="76"/>
    </row>
    <row r="10" spans="1:100" s="15" customFormat="1" ht="98.25" customHeight="1">
      <c r="A10" s="6" t="s">
        <v>118</v>
      </c>
      <c r="B10" s="78" t="str">
        <f>IFERROR(LOOKUP(2, 1/((Validations_ext!$B$2:$B$2004=$B$2)*(Validations_ext!$C$2:$C$2004=$B6)), Validations_ext!$J$2:$J$2004), "OK")</f>
        <v>OK</v>
      </c>
      <c r="C10" s="80" t="str">
        <f>IFERROR(LOOKUP(2, 1/((Validations_ext!$B$2:$B$2004=$B$2)*(Validations_ext!$C$2:$C$2004=$C6)), Validations_ext!$J$2:$J$2004), "OK")</f>
        <v>OK</v>
      </c>
      <c r="D10" s="81" t="str">
        <f>IFERROR(LOOKUP(2, 1/((Validations_ext!$B$2:$B$2004=$B$2)*(Validations_ext!$C$2:$C$2004=$D6)), Validations_ext!$J$2:$J$2004), "OK")</f>
        <v>OK</v>
      </c>
      <c r="E10" s="82" t="str">
        <f>IFERROR(LOOKUP(2, 1/((Validations_ext!$B$2:$B$2004=$B$2)*(Validations_ext!$C$2:$C$2004=$E6)), Validations_ext!$J$2:$J$2004), "OK")</f>
        <v>OK</v>
      </c>
      <c r="F10" s="79" t="str">
        <f>IFERROR(LOOKUP(2, 1/((Validations_ext!$B$2:$B$2004=$B$2)*(Validations_ext!$C$2:$C$2004=$F6)), Validations_ext!$J$2:$J$2004), "OK")</f>
        <v>OK</v>
      </c>
      <c r="G10" s="78" t="str">
        <f>IFERROR(LOOKUP(2, 1/((Validations_ext!$B$2:$B$2004=$B$2)*(Validations_ext!$C$2:$C$2004=$G6)), Validations_ext!$J$2:$J$2004), "OK")</f>
        <v>OK</v>
      </c>
      <c r="H10" s="78" t="str">
        <f>IFERROR(LOOKUP(2, 1/((Validations_ext!$B$2:$B$2004=$B$2)*(Validations_ext!$C$2:$C$2004=$H6)), Validations_ext!$J$2:$J$2004), "OK")</f>
        <v>OK</v>
      </c>
      <c r="I10" s="80" t="str">
        <f>IFERROR(LOOKUP(2, 1/((Validations_ext!$B$2:$B$2004=$B$2)*(Validations_ext!$C$2:$C$2004=$I6)), Validations_ext!$J$2:$J$2004), "OK")</f>
        <v>OK</v>
      </c>
      <c r="J10" s="81" t="str">
        <f>IFERROR(LOOKUP(2, 1/((Validations_ext!$B$2:$B$2004=$B$2)*(Validations_ext!$C$2:$C$2004=$J6)), Validations_ext!$J$2:$J$2004), "OK")</f>
        <v>OK</v>
      </c>
    </row>
    <row r="11" spans="1:100" ht="31.5" customHeight="1">
      <c r="A11" s="4" t="s">
        <v>119</v>
      </c>
      <c r="B11" s="105"/>
      <c r="C11" s="105"/>
      <c r="D11" s="108"/>
      <c r="E11" s="105"/>
      <c r="F11" s="105"/>
      <c r="G11" s="105"/>
      <c r="H11" s="105"/>
      <c r="I11" s="108"/>
      <c r="J11" s="108"/>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KnrbosB3B+VdRXxoGoAxWWgN6vCovNwuZKjLBUCuOh1Od/ytwdt+fOjJXmrQq6fReGInIzDZJP6r1MPcSLvfCA==" saltValue="AEjWrzl/ZBEHrHRQNpscXA==" spinCount="100000" sheet="1" objects="1" scenarios="1"/>
  <mergeCells count="4">
    <mergeCell ref="C2:J2"/>
    <mergeCell ref="B4:D4"/>
    <mergeCell ref="E4:J4"/>
    <mergeCell ref="A2:A3"/>
  </mergeCells>
  <phoneticPr fontId="4" type="noConversion"/>
  <conditionalFormatting sqref="B10:J10">
    <cfRule type="expression" dxfId="25" priority="10">
      <formula>ISNUMBER(SEARCH("error",B10))</formula>
    </cfRule>
  </conditionalFormatting>
  <conditionalFormatting sqref="B12:J12">
    <cfRule type="expression" dxfId="24" priority="1">
      <formula>MOD(ROW(),2)=0</formula>
    </cfRule>
  </conditionalFormatting>
  <dataValidations count="2">
    <dataValidation type="whole" allowBlank="1" showDropDown="1" showInputMessage="1" showErrorMessage="1" error="Please enter a valid Integer" sqref="E11:H11 B11:C11" xr:uid="{FAA7580B-174C-40B9-8EE1-925B214F790D}">
      <formula1>-999999999999999</formula1>
      <formula2>999999999999999</formula2>
    </dataValidation>
    <dataValidation type="decimal" allowBlank="1" showDropDown="1" showInputMessage="1" showErrorMessage="1" error="Please enter a valid Monetary value" sqref="D11 I11:J11" xr:uid="{1649B746-2B05-49D3-A964-0FC2300FF1B0}">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62E-5F92-4EE1-901F-A90291EB9016}">
  <sheetPr codeName="Sheet28"/>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5" width="23.85546875" customWidth="1"/>
  </cols>
  <sheetData>
    <row r="1" spans="1:100" s="57" customFormat="1" ht="2.25" customHeight="1">
      <c r="A1" s="54"/>
      <c r="C1" s="125"/>
    </row>
    <row r="2" spans="1:100" ht="75.75" customHeight="1">
      <c r="A2" s="187" t="s">
        <v>43</v>
      </c>
      <c r="B2" s="58" t="s">
        <v>300</v>
      </c>
      <c r="C2" s="190" t="s">
        <v>301</v>
      </c>
      <c r="D2" s="193"/>
      <c r="E2" s="190"/>
    </row>
    <row r="3" spans="1:100" s="60" customFormat="1" ht="76.5" customHeight="1">
      <c r="A3" s="187"/>
      <c r="B3" s="59"/>
    </row>
    <row r="4" spans="1:100" s="57" customFormat="1" ht="24" customHeight="1">
      <c r="A4" s="61" t="s">
        <v>46</v>
      </c>
      <c r="B4" s="126"/>
    </row>
    <row r="5" spans="1:100" s="15" customFormat="1" ht="78.75" customHeight="1">
      <c r="A5" s="7" t="s">
        <v>50</v>
      </c>
      <c r="B5" s="99" t="s">
        <v>302</v>
      </c>
      <c r="C5" s="118"/>
      <c r="D5" s="119"/>
      <c r="E5" s="119"/>
    </row>
    <row r="6" spans="1:100" ht="21" customHeight="1">
      <c r="A6" s="5" t="s">
        <v>80</v>
      </c>
      <c r="B6" s="69" t="s">
        <v>81</v>
      </c>
      <c r="C6" s="123"/>
      <c r="D6" s="124"/>
      <c r="E6" s="124"/>
    </row>
    <row r="7" spans="1:100" s="16" customFormat="1" ht="15" customHeight="1">
      <c r="A7" s="6" t="s">
        <v>110</v>
      </c>
      <c r="B7" s="74" t="s">
        <v>149</v>
      </c>
    </row>
    <row r="8" spans="1:100" ht="15" customHeight="1">
      <c r="A8" s="6" t="s">
        <v>111</v>
      </c>
      <c r="B8" s="74" t="s">
        <v>151</v>
      </c>
    </row>
    <row r="9" spans="1:100" ht="15" customHeight="1">
      <c r="A9" s="6" t="s">
        <v>117</v>
      </c>
      <c r="B9" s="74"/>
    </row>
    <row r="10" spans="1:100" s="15" customFormat="1" ht="98.25" customHeight="1">
      <c r="A10" s="6" t="s">
        <v>118</v>
      </c>
      <c r="B10" s="78" t="str">
        <f>IFERROR(LOOKUP(2, 1/((Validations_ext!$B$2:$B$2004=$B$2)*(Validations_ext!$C$2:$C$2004=$B6)), Validations_ext!$J$2:$J$2004), "OK")</f>
        <v>OK</v>
      </c>
    </row>
    <row r="11" spans="1:100" ht="31.5" customHeight="1">
      <c r="A11" s="4" t="s">
        <v>119</v>
      </c>
      <c r="B11" s="105"/>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sheetData>
  <sheetProtection algorithmName="SHA-512" hashValue="JBBO8PxfqVrhdqMtKy5tWQdr7cOb4F9hC9rX6oIFcgQdNq2LYZNeM0E1rsXIV4Z2XMOIhjJIiKZYCrYA99K22w==" saltValue="zIXZgYIDbFpD+gHXnMpxcA==" spinCount="100000" sheet="1" objects="1" scenarios="1"/>
  <mergeCells count="2">
    <mergeCell ref="C2:E2"/>
    <mergeCell ref="A2:A3"/>
  </mergeCells>
  <conditionalFormatting sqref="B10">
    <cfRule type="expression" dxfId="23" priority="5">
      <formula>ISNUMBER(SEARCH("error",B10))</formula>
    </cfRule>
  </conditionalFormatting>
  <conditionalFormatting sqref="B12">
    <cfRule type="expression" dxfId="22" priority="1">
      <formula>MOD(ROW(),2)=0</formula>
    </cfRule>
  </conditionalFormatting>
  <dataValidations count="1">
    <dataValidation type="whole" allowBlank="1" showDropDown="1" showInputMessage="1" showErrorMessage="1" error="Please enter a valid Integer" sqref="B11" xr:uid="{7D251F44-4A20-4F52-A52C-BB2CBFBC7D29}">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04022-DE34-48F3-B44C-939F2CB1EB38}">
  <sheetPr codeName="Sheet29"/>
  <dimension ref="A1:CV14"/>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5" width="27.7109375" customWidth="1"/>
  </cols>
  <sheetData>
    <row r="1" spans="1:100" s="57" customFormat="1" ht="2.25" customHeight="1">
      <c r="A1" s="54"/>
      <c r="C1" s="122"/>
      <c r="D1"/>
      <c r="E1"/>
    </row>
    <row r="2" spans="1:100" ht="75.75" customHeight="1">
      <c r="A2" s="187" t="s">
        <v>43</v>
      </c>
      <c r="B2" s="58" t="s">
        <v>303</v>
      </c>
      <c r="C2" s="190" t="s">
        <v>304</v>
      </c>
      <c r="D2" s="193"/>
      <c r="E2" s="190"/>
    </row>
    <row r="3" spans="1:100" s="60" customFormat="1" ht="76.5" customHeight="1">
      <c r="A3" s="187"/>
      <c r="B3" s="59"/>
    </row>
    <row r="4" spans="1:100" s="57" customFormat="1" ht="24" customHeight="1">
      <c r="A4" s="61" t="s">
        <v>46</v>
      </c>
      <c r="B4" s="184" t="s">
        <v>78</v>
      </c>
      <c r="C4" s="184"/>
      <c r="D4" s="185"/>
      <c r="E4" s="186"/>
    </row>
    <row r="5" spans="1:100" s="15" customFormat="1" ht="78.75" customHeight="1">
      <c r="A5" s="7" t="s">
        <v>50</v>
      </c>
      <c r="B5" s="99" t="s">
        <v>305</v>
      </c>
      <c r="C5" s="99" t="s">
        <v>306</v>
      </c>
      <c r="D5" s="100" t="s">
        <v>307</v>
      </c>
      <c r="E5" s="101" t="s">
        <v>308</v>
      </c>
    </row>
    <row r="6" spans="1:100" ht="21" customHeight="1">
      <c r="A6" s="5" t="s">
        <v>80</v>
      </c>
      <c r="B6" s="69" t="s">
        <v>81</v>
      </c>
      <c r="C6" s="69" t="s">
        <v>82</v>
      </c>
      <c r="D6" s="71" t="s">
        <v>83</v>
      </c>
      <c r="E6" s="115" t="s">
        <v>84</v>
      </c>
    </row>
    <row r="7" spans="1:100" s="16" customFormat="1" ht="15" customHeight="1">
      <c r="A7" s="6" t="s">
        <v>110</v>
      </c>
      <c r="B7" s="74" t="s">
        <v>150</v>
      </c>
      <c r="C7" s="74" t="s">
        <v>150</v>
      </c>
      <c r="D7" s="75" t="s">
        <v>150</v>
      </c>
      <c r="E7" s="76" t="s">
        <v>150</v>
      </c>
    </row>
    <row r="8" spans="1:100" ht="15" customHeight="1">
      <c r="A8" s="6" t="s">
        <v>111</v>
      </c>
      <c r="B8" s="74" t="s">
        <v>158</v>
      </c>
      <c r="C8" s="74" t="s">
        <v>151</v>
      </c>
      <c r="D8" s="75" t="s">
        <v>151</v>
      </c>
      <c r="E8" s="76" t="s">
        <v>151</v>
      </c>
    </row>
    <row r="9" spans="1:100" ht="15" customHeight="1">
      <c r="A9" s="6" t="s">
        <v>117</v>
      </c>
      <c r="B9" s="74"/>
      <c r="C9" s="74"/>
      <c r="D9" s="75"/>
      <c r="E9" s="76"/>
    </row>
    <row r="10" spans="1:100" s="15" customFormat="1" ht="98.25" customHeight="1">
      <c r="A10" s="6" t="s">
        <v>118</v>
      </c>
      <c r="B10" s="111" t="str">
        <f>IFERROR(LOOKUP(2, 1/((Validations_ext!$B$2:$B$2004=$B$2)*(Validations_ext!$C$2:$C$2004=$B6)), Validations_ext!$J$2:$J$2004), "OK")</f>
        <v>OK</v>
      </c>
      <c r="C10" s="111" t="str">
        <f>IFERROR(LOOKUP(2, 1/((Validations_ext!$B$2:$B$2004=$B$2)*(Validations_ext!$C$2:$C$2004=$C6)), Validations_ext!$J$2:$J$2004), "OK")</f>
        <v>OK</v>
      </c>
      <c r="D10" s="80" t="str">
        <f>IFERROR(LOOKUP(2, 1/((Validations_ext!$B$2:$B$2004=$B$2)*(Validations_ext!$C$2:$C$2004=$D6)), Validations_ext!$J$2:$J$2004), "OK")</f>
        <v>OK</v>
      </c>
      <c r="E10" s="113" t="str">
        <f>IFERROR(LOOKUP(2, 1/((Validations_ext!$B$2:$B$2004=$B$2)*(Validations_ext!$C$2:$C$2004=$E6)), Validations_ext!$J$2:$J$2004), "OK")</f>
        <v>OK</v>
      </c>
    </row>
    <row r="11" spans="1:100" ht="31.5" customHeight="1">
      <c r="A11" s="4" t="s">
        <v>119</v>
      </c>
      <c r="B11" s="108"/>
      <c r="C11" s="105"/>
      <c r="D11" s="105"/>
      <c r="E11" s="105"/>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rwh7ECilmaeKIKHmEhbENhFsLRbqg4MIjg68+z0QF+4kX6H6VBUCosnyQS4cHoWcdsqBV6UBSHA8zsHDcB2hig==" saltValue="Hz2TkZgB+qtLG3qoteG6mA==" spinCount="100000" sheet="1" objects="1" scenarios="1"/>
  <mergeCells count="3">
    <mergeCell ref="B4:E4"/>
    <mergeCell ref="C2:E2"/>
    <mergeCell ref="A2:A3"/>
  </mergeCells>
  <conditionalFormatting sqref="B10:E10">
    <cfRule type="expression" dxfId="21" priority="2">
      <formula>ISNUMBER(SEARCH("error",B10))</formula>
    </cfRule>
  </conditionalFormatting>
  <conditionalFormatting sqref="B12:E12">
    <cfRule type="expression" dxfId="20" priority="1">
      <formula>MOD(ROW(),2)=0</formula>
    </cfRule>
  </conditionalFormatting>
  <dataValidations count="2">
    <dataValidation type="decimal" allowBlank="1" showDropDown="1" showInputMessage="1" showErrorMessage="1" error="Please enter a valid Monetary value" sqref="B11" xr:uid="{D5CC47EA-C66E-4CE8-A56F-7452542C41AB}">
      <formula1>-999999999999999</formula1>
      <formula2>999999999999999</formula2>
    </dataValidation>
    <dataValidation type="whole" allowBlank="1" showDropDown="1" showInputMessage="1" showErrorMessage="1" error="Please enter a valid Integer" sqref="C11:E11" xr:uid="{D386C58F-104B-49E8-BB86-8B65C7AB21BD}">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0D1C-2D20-49F8-95DD-A6FB9C2F47D5}">
  <sheetPr codeName="Sheet30"/>
  <dimension ref="A1:CV14"/>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6" width="27.7109375" customWidth="1"/>
  </cols>
  <sheetData>
    <row r="1" spans="1:100" s="57" customFormat="1" ht="2.25" customHeight="1">
      <c r="A1" s="54"/>
      <c r="C1" s="122"/>
      <c r="D1"/>
      <c r="E1"/>
    </row>
    <row r="2" spans="1:100" ht="75.75" customHeight="1">
      <c r="A2" s="187" t="s">
        <v>43</v>
      </c>
      <c r="B2" s="58" t="s">
        <v>309</v>
      </c>
      <c r="C2" s="190" t="s">
        <v>310</v>
      </c>
      <c r="D2" s="193"/>
      <c r="E2" s="190"/>
      <c r="F2" s="193"/>
    </row>
    <row r="3" spans="1:100" s="60" customFormat="1" ht="76.5" customHeight="1">
      <c r="A3" s="187"/>
      <c r="B3" s="59"/>
    </row>
    <row r="4" spans="1:100" s="57" customFormat="1" ht="24" customHeight="1">
      <c r="A4" s="61" t="s">
        <v>46</v>
      </c>
      <c r="B4" s="184" t="s">
        <v>79</v>
      </c>
      <c r="C4" s="184"/>
      <c r="D4" s="184"/>
      <c r="E4" s="185"/>
      <c r="F4" s="186"/>
    </row>
    <row r="5" spans="1:100" s="15" customFormat="1" ht="78.75" customHeight="1">
      <c r="A5" s="7" t="s">
        <v>50</v>
      </c>
      <c r="B5" s="99" t="s">
        <v>311</v>
      </c>
      <c r="C5" s="99" t="s">
        <v>312</v>
      </c>
      <c r="D5" s="99" t="s">
        <v>313</v>
      </c>
      <c r="E5" s="100" t="s">
        <v>314</v>
      </c>
      <c r="F5" s="101" t="s">
        <v>315</v>
      </c>
    </row>
    <row r="6" spans="1:100" ht="21" customHeight="1">
      <c r="A6" s="5" t="s">
        <v>80</v>
      </c>
      <c r="B6" s="69" t="s">
        <v>81</v>
      </c>
      <c r="C6" s="69" t="s">
        <v>82</v>
      </c>
      <c r="D6" s="69" t="s">
        <v>83</v>
      </c>
      <c r="E6" s="71" t="s">
        <v>84</v>
      </c>
      <c r="F6" s="115" t="s">
        <v>85</v>
      </c>
    </row>
    <row r="7" spans="1:100" s="16" customFormat="1" ht="15" customHeight="1">
      <c r="A7" s="6" t="s">
        <v>110</v>
      </c>
      <c r="B7" s="74" t="s">
        <v>150</v>
      </c>
      <c r="C7" s="74" t="s">
        <v>150</v>
      </c>
      <c r="D7" s="74" t="s">
        <v>150</v>
      </c>
      <c r="E7" s="75" t="s">
        <v>150</v>
      </c>
      <c r="F7" s="76" t="s">
        <v>150</v>
      </c>
    </row>
    <row r="8" spans="1:100" ht="15" customHeight="1">
      <c r="A8" s="6" t="s">
        <v>111</v>
      </c>
      <c r="B8" s="74" t="s">
        <v>151</v>
      </c>
      <c r="C8" s="74" t="s">
        <v>151</v>
      </c>
      <c r="D8" s="74" t="s">
        <v>158</v>
      </c>
      <c r="E8" s="75" t="s">
        <v>158</v>
      </c>
      <c r="F8" s="76" t="s">
        <v>151</v>
      </c>
    </row>
    <row r="9" spans="1:100" ht="15" customHeight="1">
      <c r="A9" s="6" t="s">
        <v>117</v>
      </c>
      <c r="B9" s="74"/>
      <c r="C9" s="74"/>
      <c r="D9" s="74"/>
      <c r="E9" s="75"/>
      <c r="F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80" t="str">
        <f>IFERROR(LOOKUP(2, 1/((Validations_ext!$B$2:$B$2004=$B$2)*(Validations_ext!$C$2:$C$2004=$E6)), Validations_ext!$J$2:$J$2004), "OK")</f>
        <v>OK</v>
      </c>
      <c r="F10" s="81" t="str">
        <f>IFERROR(LOOKUP(2, 1/((Validations_ext!$B$2:$B$2004=$B$2)*(Validations_ext!$C$2:$C$2004=$F6)), Validations_ext!$J$2:$J$2004), "OK")</f>
        <v>OK</v>
      </c>
    </row>
    <row r="11" spans="1:100" ht="31.5" customHeight="1">
      <c r="A11" s="4" t="s">
        <v>119</v>
      </c>
      <c r="B11" s="105"/>
      <c r="C11" s="105"/>
      <c r="D11" s="108"/>
      <c r="E11" s="108"/>
      <c r="F11" s="105"/>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C13"/>
      <c r="D13"/>
    </row>
    <row r="14" spans="1:100">
      <c r="C14"/>
      <c r="D14"/>
    </row>
  </sheetData>
  <sheetProtection algorithmName="SHA-512" hashValue="3+4S78ePm65xKDKmbDaSk2Des/EfECLFvv34uIZuqHDtGDjuf9yYcIyHgrzO1leYHP0SBlgTRQ8pfCGDm0m3sg==" saltValue="KXzLagguqOL+2w0ocx/X7A==" spinCount="100000" sheet="1" objects="1" scenarios="1"/>
  <mergeCells count="3">
    <mergeCell ref="B4:F4"/>
    <mergeCell ref="C2:F2"/>
    <mergeCell ref="A2:A3"/>
  </mergeCells>
  <phoneticPr fontId="4" type="noConversion"/>
  <conditionalFormatting sqref="B10:F10">
    <cfRule type="expression" dxfId="19" priority="6">
      <formula>ISNUMBER(SEARCH("error",B10))</formula>
    </cfRule>
  </conditionalFormatting>
  <conditionalFormatting sqref="B12:F12">
    <cfRule type="expression" dxfId="18" priority="1">
      <formula>MOD(ROW(),2)=0</formula>
    </cfRule>
  </conditionalFormatting>
  <dataValidations count="2">
    <dataValidation type="whole" allowBlank="1" showDropDown="1" showInputMessage="1" showErrorMessage="1" error="Please enter a valid Integer" sqref="F11 B11:C11" xr:uid="{316217F1-DCB6-492E-81ED-B05ABC885B46}">
      <formula1>-999999999999999</formula1>
      <formula2>999999999999999</formula2>
    </dataValidation>
    <dataValidation type="decimal" allowBlank="1" showDropDown="1" showInputMessage="1" showErrorMessage="1" error="Please enter a valid Monetary value" sqref="D11:E11" xr:uid="{C7DC6F9D-AFEC-420A-A136-6A5067F04A71}">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7722A-BB45-4078-9691-68C56CC4B4CC}">
  <sheetPr codeName="Sheet31"/>
  <dimension ref="A1:CV270"/>
  <sheetViews>
    <sheetView zoomScale="82" zoomScaleNormal="82"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5" width="30.140625" bestFit="1" customWidth="1"/>
    <col min="6" max="6" width="31.7109375" bestFit="1" customWidth="1"/>
    <col min="7" max="18" width="27.7109375" customWidth="1"/>
  </cols>
  <sheetData>
    <row r="1" spans="1:100" s="57" customFormat="1" ht="2.25" customHeight="1">
      <c r="A1" s="54"/>
      <c r="C1" s="122"/>
      <c r="D1"/>
      <c r="E1"/>
    </row>
    <row r="2" spans="1:100" ht="75.75" customHeight="1">
      <c r="A2" s="187" t="s">
        <v>43</v>
      </c>
      <c r="B2" s="58" t="s">
        <v>316</v>
      </c>
      <c r="C2" s="190" t="s">
        <v>38</v>
      </c>
      <c r="D2" s="193"/>
      <c r="E2" s="190"/>
      <c r="F2" s="193"/>
      <c r="G2" s="190"/>
      <c r="H2" s="193"/>
      <c r="I2" s="190"/>
      <c r="J2" s="193"/>
      <c r="K2" s="127"/>
      <c r="L2" s="127"/>
      <c r="M2" s="127"/>
      <c r="N2" s="127"/>
      <c r="O2" s="127"/>
      <c r="P2" s="127"/>
      <c r="Q2" s="127"/>
      <c r="R2" s="127"/>
    </row>
    <row r="3" spans="1:100" s="60" customFormat="1" ht="76.5" customHeight="1">
      <c r="A3" s="187"/>
      <c r="B3" s="59"/>
    </row>
    <row r="4" spans="1:100" s="57" customFormat="1" ht="24" customHeight="1">
      <c r="A4" s="61" t="s">
        <v>46</v>
      </c>
      <c r="B4" s="184" t="s">
        <v>38</v>
      </c>
      <c r="C4" s="184"/>
      <c r="D4" s="184"/>
      <c r="E4" s="184"/>
      <c r="F4" s="184"/>
      <c r="G4" s="184"/>
      <c r="H4" s="184"/>
      <c r="I4" s="184"/>
      <c r="J4" s="184"/>
      <c r="K4" s="184"/>
      <c r="L4" s="184"/>
      <c r="M4" s="184"/>
      <c r="N4" s="184"/>
      <c r="O4" s="184"/>
      <c r="P4" s="184"/>
      <c r="Q4" s="185"/>
      <c r="R4" s="186"/>
    </row>
    <row r="5" spans="1:100" s="15" customFormat="1" ht="78.75" customHeight="1">
      <c r="A5" s="7" t="s">
        <v>50</v>
      </c>
      <c r="B5" s="99" t="s">
        <v>317</v>
      </c>
      <c r="C5" s="99" t="s">
        <v>133</v>
      </c>
      <c r="D5" s="99" t="s">
        <v>134</v>
      </c>
      <c r="E5" s="99" t="s">
        <v>318</v>
      </c>
      <c r="F5" s="99" t="s">
        <v>136</v>
      </c>
      <c r="G5" s="99" t="s">
        <v>319</v>
      </c>
      <c r="H5" s="99" t="s">
        <v>320</v>
      </c>
      <c r="I5" s="99" t="s">
        <v>321</v>
      </c>
      <c r="J5" s="99" t="s">
        <v>322</v>
      </c>
      <c r="K5" s="99" t="s">
        <v>323</v>
      </c>
      <c r="L5" s="99" t="s">
        <v>324</v>
      </c>
      <c r="M5" s="99" t="s">
        <v>325</v>
      </c>
      <c r="N5" s="99" t="s">
        <v>326</v>
      </c>
      <c r="O5" s="99" t="s">
        <v>327</v>
      </c>
      <c r="P5" s="99" t="s">
        <v>328</v>
      </c>
      <c r="Q5" s="100" t="s">
        <v>329</v>
      </c>
      <c r="R5" s="101" t="s">
        <v>330</v>
      </c>
    </row>
    <row r="6" spans="1:100" ht="21" customHeight="1">
      <c r="A6" s="5" t="s">
        <v>80</v>
      </c>
      <c r="B6" s="69" t="s">
        <v>81</v>
      </c>
      <c r="C6" s="69" t="s">
        <v>82</v>
      </c>
      <c r="D6" s="69" t="s">
        <v>83</v>
      </c>
      <c r="E6" s="69" t="s">
        <v>84</v>
      </c>
      <c r="F6" s="69" t="s">
        <v>85</v>
      </c>
      <c r="G6" s="69" t="s">
        <v>86</v>
      </c>
      <c r="H6" s="69" t="s">
        <v>87</v>
      </c>
      <c r="I6" s="69" t="s">
        <v>88</v>
      </c>
      <c r="J6" s="69" t="s">
        <v>89</v>
      </c>
      <c r="K6" s="69" t="s">
        <v>90</v>
      </c>
      <c r="L6" s="69" t="s">
        <v>91</v>
      </c>
      <c r="M6" s="69" t="s">
        <v>92</v>
      </c>
      <c r="N6" s="69" t="s">
        <v>93</v>
      </c>
      <c r="O6" s="69" t="s">
        <v>94</v>
      </c>
      <c r="P6" s="69" t="s">
        <v>95</v>
      </c>
      <c r="Q6" s="71" t="s">
        <v>96</v>
      </c>
      <c r="R6" s="115" t="s">
        <v>97</v>
      </c>
    </row>
    <row r="7" spans="1:100" s="16" customFormat="1" ht="15" customHeight="1">
      <c r="A7" s="6" t="s">
        <v>110</v>
      </c>
      <c r="B7" s="74"/>
      <c r="C7" s="74" t="s">
        <v>149</v>
      </c>
      <c r="D7" s="74" t="s">
        <v>149</v>
      </c>
      <c r="E7" s="74" t="s">
        <v>149</v>
      </c>
      <c r="F7" s="74" t="s">
        <v>149</v>
      </c>
      <c r="G7" s="74" t="s">
        <v>150</v>
      </c>
      <c r="H7" s="74" t="s">
        <v>150</v>
      </c>
      <c r="I7" s="74" t="s">
        <v>150</v>
      </c>
      <c r="J7" s="74" t="s">
        <v>150</v>
      </c>
      <c r="K7" s="74" t="s">
        <v>150</v>
      </c>
      <c r="L7" s="74" t="s">
        <v>149</v>
      </c>
      <c r="M7" s="74" t="s">
        <v>149</v>
      </c>
      <c r="N7" s="74" t="s">
        <v>149</v>
      </c>
      <c r="O7" s="74" t="s">
        <v>150</v>
      </c>
      <c r="P7" s="74" t="s">
        <v>150</v>
      </c>
      <c r="Q7" s="75" t="s">
        <v>149</v>
      </c>
      <c r="R7" s="76" t="s">
        <v>149</v>
      </c>
    </row>
    <row r="8" spans="1:100" ht="15" customHeight="1">
      <c r="A8" s="6" t="s">
        <v>111</v>
      </c>
      <c r="B8" s="74" t="s">
        <v>128</v>
      </c>
      <c r="C8" s="74" t="s">
        <v>151</v>
      </c>
      <c r="D8" s="74" t="s">
        <v>151</v>
      </c>
      <c r="E8" s="74" t="s">
        <v>151</v>
      </c>
      <c r="F8" s="74" t="s">
        <v>151</v>
      </c>
      <c r="G8" s="74" t="s">
        <v>151</v>
      </c>
      <c r="H8" s="74" t="s">
        <v>158</v>
      </c>
      <c r="I8" s="74" t="s">
        <v>151</v>
      </c>
      <c r="J8" s="74" t="s">
        <v>158</v>
      </c>
      <c r="K8" s="74" t="s">
        <v>158</v>
      </c>
      <c r="L8" s="74" t="s">
        <v>151</v>
      </c>
      <c r="M8" s="74" t="s">
        <v>158</v>
      </c>
      <c r="N8" s="74" t="s">
        <v>151</v>
      </c>
      <c r="O8" s="74" t="s">
        <v>158</v>
      </c>
      <c r="P8" s="74" t="s">
        <v>158</v>
      </c>
      <c r="Q8" s="75" t="s">
        <v>151</v>
      </c>
      <c r="R8" s="76" t="s">
        <v>151</v>
      </c>
    </row>
    <row r="9" spans="1:100" ht="15" customHeight="1">
      <c r="A9" s="6" t="s">
        <v>117</v>
      </c>
      <c r="B9" s="74"/>
      <c r="C9" s="74"/>
      <c r="D9" s="74"/>
      <c r="E9" s="74"/>
      <c r="F9" s="74"/>
      <c r="G9" s="74"/>
      <c r="H9" s="74"/>
      <c r="I9" s="74"/>
      <c r="J9" s="74"/>
      <c r="K9" s="74"/>
      <c r="L9" s="74"/>
      <c r="M9" s="74"/>
      <c r="N9" s="74"/>
      <c r="O9" s="74"/>
      <c r="P9" s="74"/>
      <c r="Q9" s="75"/>
      <c r="R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78" t="str">
        <f>IFERROR(LOOKUP(2, 1/((Validations_ext!$B$2:$B$2004=$B$2)*(Validations_ext!$C$2:$C$2004=$G6)), Validations_ext!$J$2:$J$2004), "OK")</f>
        <v>OK</v>
      </c>
      <c r="H10" s="78" t="str">
        <f>IFERROR(LOOKUP(2, 1/((Validations_ext!$B$2:$B$2004=$B$2)*(Validations_ext!$C$2:$C$2004=$H6)), Validations_ext!$J$2:$J$2004), "OK")</f>
        <v>OK</v>
      </c>
      <c r="I10" s="78" t="str">
        <f>IFERROR(LOOKUP(2, 1/((Validations_ext!$B$2:$B$2004=$B$2)*(Validations_ext!$C$2:$C$2004=$I6)), Validations_ext!$J$2:$J$2004), "OK")</f>
        <v>OK</v>
      </c>
      <c r="J10" s="78" t="str">
        <f>IFERROR(LOOKUP(2, 1/((Validations_ext!$B$2:$B$2004=$B$2)*(Validations_ext!$C$2:$C$2004=$J6)), Validations_ext!$J$2:$J$2004), "OK")</f>
        <v>OK</v>
      </c>
      <c r="K10" s="78" t="str">
        <f>IFERROR(LOOKUP(2, 1/((Validations_ext!$B$2:$B$2004=$B$2)*(Validations_ext!$C$2:$C$2004=$K6)), Validations_ext!$J$2:$J$2004), "OK")</f>
        <v>OK</v>
      </c>
      <c r="L10" s="78" t="str">
        <f>IFERROR(LOOKUP(2, 1/((Validations_ext!$B$2:$B$2004=$B$2)*(Validations_ext!$C$2:$C$2004=$L6)), Validations_ext!$J$2:$J$2004), "OK")</f>
        <v>OK</v>
      </c>
      <c r="M10" s="78" t="str">
        <f>IFERROR(LOOKUP(2, 1/((Validations_ext!$B$2:$B$2004=$B$2)*(Validations_ext!$C$2:$C$2004=$M6)), Validations_ext!$J$2:$J$2004), "OK")</f>
        <v>OK</v>
      </c>
      <c r="N10" s="78" t="str">
        <f>IFERROR(LOOKUP(2, 1/((Validations_ext!$B$2:$B$2004=$B$2)*(Validations_ext!$C$2:$C$2004=$N6)), Validations_ext!$J$2:$J$2004), "OK")</f>
        <v>OK</v>
      </c>
      <c r="O10" s="78" t="str">
        <f>IFERROR(LOOKUP(2, 1/((Validations_ext!$B$2:$B$2004=$B$2)*(Validations_ext!$C$2:$C$2004=$O6)), Validations_ext!$J$2:$J$2004), "OK")</f>
        <v>OK</v>
      </c>
      <c r="P10" s="78" t="str">
        <f>IFERROR(LOOKUP(2, 1/((Validations_ext!$B$2:$B$2004=$B$2)*(Validations_ext!$C$2:$C$2004=$P6)), Validations_ext!$J$2:$J$2004), "OK")</f>
        <v>OK</v>
      </c>
      <c r="Q10" s="80" t="str">
        <f>IFERROR(LOOKUP(2, 1/((Validations_ext!$B$2:$B$2004=$B$2)*(Validations_ext!$C$2:$C$2004=$Q6)), Validations_ext!$J$2:$J$2004), "OK")</f>
        <v>OK</v>
      </c>
      <c r="R10" s="81" t="str">
        <f>IFERROR(LOOKUP(2, 1/((Validations_ext!$B$2:$B$2004=$B$2)*(Validations_ext!$C$2:$C$2004=$R6)), Validations_ext!$J$2:$J$2004), "OK")</f>
        <v>OK</v>
      </c>
    </row>
    <row r="11" spans="1:100" ht="31.5" customHeight="1">
      <c r="A11" s="3" t="s">
        <v>119</v>
      </c>
      <c r="B11" s="88"/>
      <c r="C11" s="105"/>
      <c r="D11" s="105"/>
      <c r="E11" s="105"/>
      <c r="F11" s="105"/>
      <c r="G11" s="105"/>
      <c r="H11" s="108"/>
      <c r="I11" s="105"/>
      <c r="J11" s="108"/>
      <c r="K11" s="108"/>
      <c r="L11" s="105"/>
      <c r="M11" s="108"/>
      <c r="N11" s="105"/>
      <c r="O11" s="108"/>
      <c r="P11" s="108"/>
      <c r="Q11" s="105"/>
      <c r="R11" s="105"/>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A12" s="3" t="s">
        <v>119</v>
      </c>
      <c r="B12" s="88"/>
      <c r="C12" s="105"/>
      <c r="D12" s="105"/>
      <c r="E12" s="105"/>
      <c r="F12" s="105"/>
      <c r="G12" s="105"/>
      <c r="H12" s="108"/>
      <c r="I12" s="105"/>
      <c r="J12" s="108"/>
      <c r="K12" s="108"/>
      <c r="L12" s="105"/>
      <c r="M12" s="108"/>
      <c r="N12" s="105"/>
      <c r="O12" s="108"/>
      <c r="P12" s="108"/>
      <c r="Q12" s="105"/>
      <c r="R12" s="105"/>
    </row>
    <row r="13" spans="1:100" ht="18.75">
      <c r="A13" s="3" t="s">
        <v>119</v>
      </c>
      <c r="B13" s="88"/>
      <c r="C13" s="105"/>
      <c r="D13" s="105"/>
      <c r="E13" s="105"/>
      <c r="F13" s="105"/>
      <c r="G13" s="105"/>
      <c r="H13" s="108"/>
      <c r="I13" s="105"/>
      <c r="J13" s="108"/>
      <c r="K13" s="108"/>
      <c r="L13" s="105"/>
      <c r="M13" s="108"/>
      <c r="N13" s="105"/>
      <c r="O13" s="108"/>
      <c r="P13" s="108"/>
      <c r="Q13" s="105"/>
      <c r="R13" s="105"/>
    </row>
    <row r="14" spans="1:100" s="128" customFormat="1" ht="18.75">
      <c r="A14" s="3" t="s">
        <v>119</v>
      </c>
      <c r="B14" s="88"/>
      <c r="C14" s="105"/>
      <c r="D14" s="105"/>
      <c r="E14" s="105"/>
      <c r="F14" s="105"/>
      <c r="G14" s="105"/>
      <c r="H14" s="108"/>
      <c r="I14" s="105"/>
      <c r="J14" s="108"/>
      <c r="K14" s="108"/>
      <c r="L14" s="105"/>
      <c r="M14" s="108"/>
      <c r="N14" s="105"/>
      <c r="O14" s="108"/>
      <c r="P14" s="108"/>
      <c r="Q14" s="105"/>
      <c r="R14" s="105"/>
    </row>
    <row r="15" spans="1:100" ht="18.75">
      <c r="A15" s="3" t="s">
        <v>119</v>
      </c>
      <c r="B15" s="88"/>
      <c r="C15" s="105"/>
      <c r="D15" s="105"/>
      <c r="E15" s="105"/>
      <c r="F15" s="105"/>
      <c r="G15" s="105"/>
      <c r="H15" s="108"/>
      <c r="I15" s="105"/>
      <c r="J15" s="108"/>
      <c r="K15" s="108"/>
      <c r="L15" s="105"/>
      <c r="M15" s="108"/>
      <c r="N15" s="105"/>
      <c r="O15" s="108"/>
      <c r="P15" s="108"/>
      <c r="Q15" s="105"/>
      <c r="R15" s="105"/>
    </row>
    <row r="16" spans="1:100" ht="18.75">
      <c r="A16" s="3" t="s">
        <v>119</v>
      </c>
      <c r="B16" s="88"/>
      <c r="C16" s="105"/>
      <c r="D16" s="105"/>
      <c r="E16" s="105"/>
      <c r="F16" s="105"/>
      <c r="G16" s="105"/>
      <c r="H16" s="108"/>
      <c r="I16" s="105"/>
      <c r="J16" s="108"/>
      <c r="K16" s="108"/>
      <c r="L16" s="105"/>
      <c r="M16" s="108"/>
      <c r="N16" s="105"/>
      <c r="O16" s="108"/>
      <c r="P16" s="108"/>
      <c r="Q16" s="105"/>
      <c r="R16" s="105"/>
    </row>
    <row r="17" spans="1:18" ht="18.75">
      <c r="A17" s="3" t="s">
        <v>119</v>
      </c>
      <c r="B17" s="88"/>
      <c r="C17" s="105"/>
      <c r="D17" s="105"/>
      <c r="E17" s="105"/>
      <c r="F17" s="105"/>
      <c r="G17" s="105"/>
      <c r="H17" s="108"/>
      <c r="I17" s="105"/>
      <c r="J17" s="108"/>
      <c r="K17" s="108"/>
      <c r="L17" s="105"/>
      <c r="M17" s="108"/>
      <c r="N17" s="105"/>
      <c r="O17" s="108"/>
      <c r="P17" s="108"/>
      <c r="Q17" s="105"/>
      <c r="R17" s="105"/>
    </row>
    <row r="18" spans="1:18" ht="18.75">
      <c r="A18" s="3" t="s">
        <v>119</v>
      </c>
      <c r="B18" s="88"/>
      <c r="C18" s="105"/>
      <c r="D18" s="105"/>
      <c r="E18" s="105"/>
      <c r="F18" s="105"/>
      <c r="G18" s="105"/>
      <c r="H18" s="108"/>
      <c r="I18" s="105"/>
      <c r="J18" s="108"/>
      <c r="K18" s="108"/>
      <c r="L18" s="105"/>
      <c r="M18" s="108"/>
      <c r="N18" s="105"/>
      <c r="O18" s="108"/>
      <c r="P18" s="108"/>
      <c r="Q18" s="105"/>
      <c r="R18" s="105"/>
    </row>
    <row r="19" spans="1:18" ht="18.75">
      <c r="A19" s="3" t="s">
        <v>119</v>
      </c>
      <c r="B19" s="88"/>
      <c r="C19" s="105"/>
      <c r="D19" s="105"/>
      <c r="E19" s="105"/>
      <c r="F19" s="105"/>
      <c r="G19" s="105"/>
      <c r="H19" s="108"/>
      <c r="I19" s="105"/>
      <c r="J19" s="108"/>
      <c r="K19" s="108"/>
      <c r="L19" s="105"/>
      <c r="M19" s="108"/>
      <c r="N19" s="105"/>
      <c r="O19" s="108"/>
      <c r="P19" s="108"/>
      <c r="Q19" s="105"/>
      <c r="R19" s="105"/>
    </row>
    <row r="20" spans="1:18" ht="18.75">
      <c r="A20" s="3" t="s">
        <v>119</v>
      </c>
      <c r="B20" s="88"/>
      <c r="C20" s="105"/>
      <c r="D20" s="105"/>
      <c r="E20" s="105"/>
      <c r="F20" s="105"/>
      <c r="G20" s="105"/>
      <c r="H20" s="108"/>
      <c r="I20" s="105"/>
      <c r="J20" s="108"/>
      <c r="K20" s="108"/>
      <c r="L20" s="105"/>
      <c r="M20" s="108"/>
      <c r="N20" s="105"/>
      <c r="O20" s="108"/>
      <c r="P20" s="108"/>
      <c r="Q20" s="105"/>
      <c r="R20" s="105"/>
    </row>
    <row r="21" spans="1:18" ht="18.75">
      <c r="A21" s="3" t="s">
        <v>119</v>
      </c>
      <c r="B21" s="88"/>
      <c r="C21" s="105"/>
      <c r="D21" s="105"/>
      <c r="E21" s="105"/>
      <c r="F21" s="105"/>
      <c r="G21" s="105"/>
      <c r="H21" s="108"/>
      <c r="I21" s="105"/>
      <c r="J21" s="108"/>
      <c r="K21" s="108"/>
      <c r="L21" s="105"/>
      <c r="M21" s="108"/>
      <c r="N21" s="105"/>
      <c r="O21" s="108"/>
      <c r="P21" s="108"/>
      <c r="Q21" s="105"/>
      <c r="R21" s="105"/>
    </row>
    <row r="22" spans="1:18" ht="18.75">
      <c r="A22" s="3" t="s">
        <v>119</v>
      </c>
      <c r="B22" s="88"/>
      <c r="C22" s="105"/>
      <c r="D22" s="105"/>
      <c r="E22" s="105"/>
      <c r="F22" s="105"/>
      <c r="G22" s="105"/>
      <c r="H22" s="108"/>
      <c r="I22" s="105"/>
      <c r="J22" s="108"/>
      <c r="K22" s="108"/>
      <c r="L22" s="105"/>
      <c r="M22" s="108"/>
      <c r="N22" s="105"/>
      <c r="O22" s="108"/>
      <c r="P22" s="108"/>
      <c r="Q22" s="105"/>
      <c r="R22" s="105"/>
    </row>
    <row r="23" spans="1:18" ht="18.75">
      <c r="A23" s="3" t="s">
        <v>119</v>
      </c>
      <c r="B23" s="88"/>
      <c r="C23" s="105"/>
      <c r="D23" s="105"/>
      <c r="E23" s="105"/>
      <c r="F23" s="105"/>
      <c r="G23" s="105"/>
      <c r="H23" s="108"/>
      <c r="I23" s="105"/>
      <c r="J23" s="108"/>
      <c r="K23" s="108"/>
      <c r="L23" s="105"/>
      <c r="M23" s="108"/>
      <c r="N23" s="105"/>
      <c r="O23" s="108"/>
      <c r="P23" s="108"/>
      <c r="Q23" s="105"/>
      <c r="R23" s="105"/>
    </row>
    <row r="24" spans="1:18" ht="18.75">
      <c r="A24" s="3" t="s">
        <v>119</v>
      </c>
      <c r="B24" s="88"/>
      <c r="C24" s="105"/>
      <c r="D24" s="105"/>
      <c r="E24" s="105"/>
      <c r="F24" s="105"/>
      <c r="G24" s="105"/>
      <c r="H24" s="108"/>
      <c r="I24" s="105"/>
      <c r="J24" s="108"/>
      <c r="K24" s="108"/>
      <c r="L24" s="105"/>
      <c r="M24" s="108"/>
      <c r="N24" s="105"/>
      <c r="O24" s="108"/>
      <c r="P24" s="108"/>
      <c r="Q24" s="105"/>
      <c r="R24" s="105"/>
    </row>
    <row r="25" spans="1:18" ht="18.75">
      <c r="A25" s="3" t="s">
        <v>119</v>
      </c>
      <c r="B25" s="88"/>
      <c r="C25" s="105"/>
      <c r="D25" s="105"/>
      <c r="E25" s="105"/>
      <c r="F25" s="105"/>
      <c r="G25" s="105"/>
      <c r="H25" s="108"/>
      <c r="I25" s="105"/>
      <c r="J25" s="108"/>
      <c r="K25" s="108"/>
      <c r="L25" s="105"/>
      <c r="M25" s="108"/>
      <c r="N25" s="105"/>
      <c r="O25" s="108"/>
      <c r="P25" s="108"/>
      <c r="Q25" s="105"/>
      <c r="R25" s="105"/>
    </row>
    <row r="26" spans="1:18" ht="18.75">
      <c r="A26" s="3" t="s">
        <v>119</v>
      </c>
      <c r="B26" s="88"/>
      <c r="C26" s="105"/>
      <c r="D26" s="105"/>
      <c r="E26" s="105"/>
      <c r="F26" s="105"/>
      <c r="G26" s="105"/>
      <c r="H26" s="108"/>
      <c r="I26" s="105"/>
      <c r="J26" s="108"/>
      <c r="K26" s="108"/>
      <c r="L26" s="105"/>
      <c r="M26" s="108"/>
      <c r="N26" s="105"/>
      <c r="O26" s="108"/>
      <c r="P26" s="108"/>
      <c r="Q26" s="105"/>
      <c r="R26" s="105"/>
    </row>
    <row r="27" spans="1:18" ht="18.75">
      <c r="A27" s="3" t="s">
        <v>119</v>
      </c>
      <c r="B27" s="88"/>
      <c r="C27" s="105"/>
      <c r="D27" s="105"/>
      <c r="E27" s="105"/>
      <c r="F27" s="105"/>
      <c r="G27" s="105"/>
      <c r="H27" s="108"/>
      <c r="I27" s="105"/>
      <c r="J27" s="108"/>
      <c r="K27" s="108"/>
      <c r="L27" s="105"/>
      <c r="M27" s="108"/>
      <c r="N27" s="105"/>
      <c r="O27" s="108"/>
      <c r="P27" s="108"/>
      <c r="Q27" s="105"/>
      <c r="R27" s="105"/>
    </row>
    <row r="28" spans="1:18" ht="18.75">
      <c r="A28" s="3" t="s">
        <v>119</v>
      </c>
      <c r="B28" s="88"/>
      <c r="C28" s="105"/>
      <c r="D28" s="105"/>
      <c r="E28" s="105"/>
      <c r="F28" s="105"/>
      <c r="G28" s="105"/>
      <c r="H28" s="108"/>
      <c r="I28" s="105"/>
      <c r="J28" s="108"/>
      <c r="K28" s="108"/>
      <c r="L28" s="105"/>
      <c r="M28" s="108"/>
      <c r="N28" s="105"/>
      <c r="O28" s="108"/>
      <c r="P28" s="108"/>
      <c r="Q28" s="105"/>
      <c r="R28" s="105"/>
    </row>
    <row r="29" spans="1:18" ht="18.75">
      <c r="A29" s="3" t="s">
        <v>119</v>
      </c>
      <c r="B29" s="88"/>
      <c r="C29" s="105"/>
      <c r="D29" s="105"/>
      <c r="E29" s="105"/>
      <c r="F29" s="105"/>
      <c r="G29" s="105"/>
      <c r="H29" s="108"/>
      <c r="I29" s="105"/>
      <c r="J29" s="108"/>
      <c r="K29" s="108"/>
      <c r="L29" s="105"/>
      <c r="M29" s="108"/>
      <c r="N29" s="105"/>
      <c r="O29" s="108"/>
      <c r="P29" s="108"/>
      <c r="Q29" s="105"/>
      <c r="R29" s="105"/>
    </row>
    <row r="30" spans="1:18" ht="18.75">
      <c r="A30" s="3" t="s">
        <v>119</v>
      </c>
      <c r="B30" s="88"/>
      <c r="C30" s="105"/>
      <c r="D30" s="105"/>
      <c r="E30" s="105"/>
      <c r="F30" s="105"/>
      <c r="G30" s="105"/>
      <c r="H30" s="108"/>
      <c r="I30" s="105"/>
      <c r="J30" s="108"/>
      <c r="K30" s="108"/>
      <c r="L30" s="105"/>
      <c r="M30" s="108"/>
      <c r="N30" s="105"/>
      <c r="O30" s="108"/>
      <c r="P30" s="108"/>
      <c r="Q30" s="105"/>
      <c r="R30" s="105"/>
    </row>
    <row r="31" spans="1:18" ht="18.75">
      <c r="A31" s="3" t="s">
        <v>119</v>
      </c>
      <c r="B31" s="88"/>
      <c r="C31" s="105"/>
      <c r="D31" s="105"/>
      <c r="E31" s="105"/>
      <c r="F31" s="105"/>
      <c r="G31" s="105"/>
      <c r="H31" s="108"/>
      <c r="I31" s="105"/>
      <c r="J31" s="108"/>
      <c r="K31" s="108"/>
      <c r="L31" s="105"/>
      <c r="M31" s="108"/>
      <c r="N31" s="105"/>
      <c r="O31" s="108"/>
      <c r="P31" s="108"/>
      <c r="Q31" s="105"/>
      <c r="R31" s="105"/>
    </row>
    <row r="32" spans="1:18" ht="18.75">
      <c r="A32" s="3" t="s">
        <v>119</v>
      </c>
      <c r="B32" s="88"/>
      <c r="C32" s="105"/>
      <c r="D32" s="105"/>
      <c r="E32" s="105"/>
      <c r="F32" s="105"/>
      <c r="G32" s="105"/>
      <c r="H32" s="108"/>
      <c r="I32" s="105"/>
      <c r="J32" s="108"/>
      <c r="K32" s="108"/>
      <c r="L32" s="105"/>
      <c r="M32" s="108"/>
      <c r="N32" s="105"/>
      <c r="O32" s="108"/>
      <c r="P32" s="108"/>
      <c r="Q32" s="105"/>
      <c r="R32" s="105"/>
    </row>
    <row r="33" spans="1:18" ht="18.75">
      <c r="A33" s="3" t="s">
        <v>119</v>
      </c>
      <c r="B33" s="88"/>
      <c r="C33" s="105"/>
      <c r="D33" s="105"/>
      <c r="E33" s="105"/>
      <c r="F33" s="105"/>
      <c r="G33" s="105"/>
      <c r="H33" s="108"/>
      <c r="I33" s="105"/>
      <c r="J33" s="108"/>
      <c r="K33" s="108"/>
      <c r="L33" s="105"/>
      <c r="M33" s="108"/>
      <c r="N33" s="105"/>
      <c r="O33" s="108"/>
      <c r="P33" s="108"/>
      <c r="Q33" s="105"/>
      <c r="R33" s="105"/>
    </row>
    <row r="34" spans="1:18" ht="18.75">
      <c r="A34" s="3" t="s">
        <v>119</v>
      </c>
      <c r="B34" s="88"/>
      <c r="C34" s="105"/>
      <c r="D34" s="105"/>
      <c r="E34" s="105"/>
      <c r="F34" s="105"/>
      <c r="G34" s="105"/>
      <c r="H34" s="108"/>
      <c r="I34" s="105"/>
      <c r="J34" s="108"/>
      <c r="K34" s="108"/>
      <c r="L34" s="105"/>
      <c r="M34" s="108"/>
      <c r="N34" s="105"/>
      <c r="O34" s="108"/>
      <c r="P34" s="108"/>
      <c r="Q34" s="105"/>
      <c r="R34" s="105"/>
    </row>
    <row r="35" spans="1:18" ht="18.75">
      <c r="A35" s="3" t="s">
        <v>119</v>
      </c>
      <c r="B35" s="88"/>
      <c r="C35" s="105"/>
      <c r="D35" s="105"/>
      <c r="E35" s="105"/>
      <c r="F35" s="105"/>
      <c r="G35" s="105"/>
      <c r="H35" s="108"/>
      <c r="I35" s="105"/>
      <c r="J35" s="108"/>
      <c r="K35" s="108"/>
      <c r="L35" s="105"/>
      <c r="M35" s="108"/>
      <c r="N35" s="105"/>
      <c r="O35" s="108"/>
      <c r="P35" s="108"/>
      <c r="Q35" s="105"/>
      <c r="R35" s="105"/>
    </row>
    <row r="36" spans="1:18" ht="18.75">
      <c r="A36" s="3" t="s">
        <v>119</v>
      </c>
      <c r="B36" s="88"/>
      <c r="C36" s="105"/>
      <c r="D36" s="105"/>
      <c r="E36" s="105"/>
      <c r="F36" s="105"/>
      <c r="G36" s="105"/>
      <c r="H36" s="108"/>
      <c r="I36" s="105"/>
      <c r="J36" s="108"/>
      <c r="K36" s="108"/>
      <c r="L36" s="105"/>
      <c r="M36" s="108"/>
      <c r="N36" s="105"/>
      <c r="O36" s="108"/>
      <c r="P36" s="108"/>
      <c r="Q36" s="105"/>
      <c r="R36" s="105"/>
    </row>
    <row r="37" spans="1:18" ht="18.75">
      <c r="A37" s="3" t="s">
        <v>119</v>
      </c>
      <c r="B37" s="88"/>
      <c r="C37" s="105"/>
      <c r="D37" s="105"/>
      <c r="E37" s="105"/>
      <c r="F37" s="105"/>
      <c r="G37" s="105"/>
      <c r="H37" s="108"/>
      <c r="I37" s="105"/>
      <c r="J37" s="108"/>
      <c r="K37" s="108"/>
      <c r="L37" s="105"/>
      <c r="M37" s="108"/>
      <c r="N37" s="105"/>
      <c r="O37" s="108"/>
      <c r="P37" s="108"/>
      <c r="Q37" s="105"/>
      <c r="R37" s="105"/>
    </row>
    <row r="38" spans="1:18" ht="18.75">
      <c r="A38" s="3" t="s">
        <v>119</v>
      </c>
      <c r="B38" s="88"/>
      <c r="C38" s="105"/>
      <c r="D38" s="105"/>
      <c r="E38" s="105"/>
      <c r="F38" s="105"/>
      <c r="G38" s="105"/>
      <c r="H38" s="108"/>
      <c r="I38" s="105"/>
      <c r="J38" s="108"/>
      <c r="K38" s="108"/>
      <c r="L38" s="105"/>
      <c r="M38" s="108"/>
      <c r="N38" s="105"/>
      <c r="O38" s="108"/>
      <c r="P38" s="108"/>
      <c r="Q38" s="105"/>
      <c r="R38" s="105"/>
    </row>
    <row r="39" spans="1:18" ht="18.75">
      <c r="A39" s="3" t="s">
        <v>119</v>
      </c>
      <c r="B39" s="88"/>
      <c r="C39" s="105"/>
      <c r="D39" s="105"/>
      <c r="E39" s="105"/>
      <c r="F39" s="105"/>
      <c r="G39" s="105"/>
      <c r="H39" s="108"/>
      <c r="I39" s="105"/>
      <c r="J39" s="108"/>
      <c r="K39" s="108"/>
      <c r="L39" s="105"/>
      <c r="M39" s="108"/>
      <c r="N39" s="105"/>
      <c r="O39" s="108"/>
      <c r="P39" s="108"/>
      <c r="Q39" s="105"/>
      <c r="R39" s="105"/>
    </row>
    <row r="40" spans="1:18" ht="18.75">
      <c r="A40" s="3" t="s">
        <v>119</v>
      </c>
      <c r="B40" s="88"/>
      <c r="C40" s="105"/>
      <c r="D40" s="105"/>
      <c r="E40" s="105"/>
      <c r="F40" s="105"/>
      <c r="G40" s="105"/>
      <c r="H40" s="108"/>
      <c r="I40" s="105"/>
      <c r="J40" s="108"/>
      <c r="K40" s="108"/>
      <c r="L40" s="105"/>
      <c r="M40" s="108"/>
      <c r="N40" s="105"/>
      <c r="O40" s="108"/>
      <c r="P40" s="108"/>
      <c r="Q40" s="105"/>
      <c r="R40" s="105"/>
    </row>
    <row r="41" spans="1:18" ht="18.75">
      <c r="A41" s="3" t="s">
        <v>119</v>
      </c>
      <c r="B41" s="88"/>
      <c r="C41" s="105"/>
      <c r="D41" s="105"/>
      <c r="E41" s="105"/>
      <c r="F41" s="105"/>
      <c r="G41" s="105"/>
      <c r="H41" s="108"/>
      <c r="I41" s="105"/>
      <c r="J41" s="108"/>
      <c r="K41" s="108"/>
      <c r="L41" s="105"/>
      <c r="M41" s="108"/>
      <c r="N41" s="105"/>
      <c r="O41" s="108"/>
      <c r="P41" s="108"/>
      <c r="Q41" s="105"/>
      <c r="R41" s="105"/>
    </row>
    <row r="42" spans="1:18" ht="18.75">
      <c r="A42" s="3" t="s">
        <v>119</v>
      </c>
      <c r="B42" s="88"/>
      <c r="C42" s="105"/>
      <c r="D42" s="105"/>
      <c r="E42" s="105"/>
      <c r="F42" s="105"/>
      <c r="G42" s="105"/>
      <c r="H42" s="108"/>
      <c r="I42" s="105"/>
      <c r="J42" s="108"/>
      <c r="K42" s="108"/>
      <c r="L42" s="105"/>
      <c r="M42" s="108"/>
      <c r="N42" s="105"/>
      <c r="O42" s="108"/>
      <c r="P42" s="108"/>
      <c r="Q42" s="105"/>
      <c r="R42" s="105"/>
    </row>
    <row r="43" spans="1:18" ht="18.75">
      <c r="A43" s="3" t="s">
        <v>119</v>
      </c>
      <c r="B43" s="88"/>
      <c r="C43" s="105"/>
      <c r="D43" s="105"/>
      <c r="E43" s="105"/>
      <c r="F43" s="105"/>
      <c r="G43" s="105"/>
      <c r="H43" s="108"/>
      <c r="I43" s="105"/>
      <c r="J43" s="108"/>
      <c r="K43" s="108"/>
      <c r="L43" s="105"/>
      <c r="M43" s="108"/>
      <c r="N43" s="105"/>
      <c r="O43" s="108"/>
      <c r="P43" s="108"/>
      <c r="Q43" s="105"/>
      <c r="R43" s="105"/>
    </row>
    <row r="44" spans="1:18" ht="18.75">
      <c r="A44" s="3" t="s">
        <v>119</v>
      </c>
      <c r="B44" s="88"/>
      <c r="C44" s="105"/>
      <c r="D44" s="105"/>
      <c r="E44" s="105"/>
      <c r="F44" s="105"/>
      <c r="G44" s="105"/>
      <c r="H44" s="108"/>
      <c r="I44" s="105"/>
      <c r="J44" s="108"/>
      <c r="K44" s="108"/>
      <c r="L44" s="105"/>
      <c r="M44" s="108"/>
      <c r="N44" s="105"/>
      <c r="O44" s="108"/>
      <c r="P44" s="108"/>
      <c r="Q44" s="105"/>
      <c r="R44" s="105"/>
    </row>
    <row r="45" spans="1:18" ht="18.75">
      <c r="A45" s="3" t="s">
        <v>119</v>
      </c>
      <c r="B45" s="88"/>
      <c r="C45" s="105"/>
      <c r="D45" s="105"/>
      <c r="E45" s="105"/>
      <c r="F45" s="105"/>
      <c r="G45" s="105"/>
      <c r="H45" s="108"/>
      <c r="I45" s="105"/>
      <c r="J45" s="108"/>
      <c r="K45" s="108"/>
      <c r="L45" s="105"/>
      <c r="M45" s="108"/>
      <c r="N45" s="105"/>
      <c r="O45" s="108"/>
      <c r="P45" s="108"/>
      <c r="Q45" s="105"/>
      <c r="R45" s="105"/>
    </row>
    <row r="46" spans="1:18" ht="18.75">
      <c r="A46" s="3" t="s">
        <v>119</v>
      </c>
      <c r="B46" s="88"/>
      <c r="C46" s="105"/>
      <c r="D46" s="105"/>
      <c r="E46" s="105"/>
      <c r="F46" s="105"/>
      <c r="G46" s="105"/>
      <c r="H46" s="108"/>
      <c r="I46" s="105"/>
      <c r="J46" s="108"/>
      <c r="K46" s="108"/>
      <c r="L46" s="105"/>
      <c r="M46" s="108"/>
      <c r="N46" s="105"/>
      <c r="O46" s="108"/>
      <c r="P46" s="108"/>
      <c r="Q46" s="105"/>
      <c r="R46" s="105"/>
    </row>
    <row r="47" spans="1:18" ht="18.75">
      <c r="A47" s="3" t="s">
        <v>119</v>
      </c>
      <c r="B47" s="88"/>
      <c r="C47" s="105"/>
      <c r="D47" s="105"/>
      <c r="E47" s="105"/>
      <c r="F47" s="105"/>
      <c r="G47" s="105"/>
      <c r="H47" s="108"/>
      <c r="I47" s="105"/>
      <c r="J47" s="108"/>
      <c r="K47" s="108"/>
      <c r="L47" s="105"/>
      <c r="M47" s="108"/>
      <c r="N47" s="105"/>
      <c r="O47" s="108"/>
      <c r="P47" s="108"/>
      <c r="Q47" s="105"/>
      <c r="R47" s="105"/>
    </row>
    <row r="48" spans="1:18" ht="18.75">
      <c r="A48" s="3" t="s">
        <v>119</v>
      </c>
      <c r="B48" s="88"/>
      <c r="C48" s="105"/>
      <c r="D48" s="105"/>
      <c r="E48" s="105"/>
      <c r="F48" s="105"/>
      <c r="G48" s="105"/>
      <c r="H48" s="108"/>
      <c r="I48" s="105"/>
      <c r="J48" s="108"/>
      <c r="K48" s="108"/>
      <c r="L48" s="105"/>
      <c r="M48" s="108"/>
      <c r="N48" s="105"/>
      <c r="O48" s="108"/>
      <c r="P48" s="108"/>
      <c r="Q48" s="105"/>
      <c r="R48" s="105"/>
    </row>
    <row r="49" spans="1:18" ht="18.75">
      <c r="A49" s="3" t="s">
        <v>119</v>
      </c>
      <c r="B49" s="88"/>
      <c r="C49" s="105"/>
      <c r="D49" s="105"/>
      <c r="E49" s="105"/>
      <c r="F49" s="105"/>
      <c r="G49" s="105"/>
      <c r="H49" s="108"/>
      <c r="I49" s="105"/>
      <c r="J49" s="108"/>
      <c r="K49" s="108"/>
      <c r="L49" s="105"/>
      <c r="M49" s="108"/>
      <c r="N49" s="105"/>
      <c r="O49" s="108"/>
      <c r="P49" s="108"/>
      <c r="Q49" s="105"/>
      <c r="R49" s="105"/>
    </row>
    <row r="50" spans="1:18" ht="18.75">
      <c r="A50" s="3" t="s">
        <v>119</v>
      </c>
      <c r="B50" s="88"/>
      <c r="C50" s="105"/>
      <c r="D50" s="105"/>
      <c r="E50" s="105"/>
      <c r="F50" s="105"/>
      <c r="G50" s="105"/>
      <c r="H50" s="108"/>
      <c r="I50" s="105"/>
      <c r="J50" s="108"/>
      <c r="K50" s="108"/>
      <c r="L50" s="105"/>
      <c r="M50" s="108"/>
      <c r="N50" s="105"/>
      <c r="O50" s="108"/>
      <c r="P50" s="108"/>
      <c r="Q50" s="105"/>
      <c r="R50" s="105"/>
    </row>
    <row r="51" spans="1:18" ht="18.75">
      <c r="A51" s="3" t="s">
        <v>119</v>
      </c>
      <c r="B51" s="88"/>
      <c r="C51" s="105"/>
      <c r="D51" s="105"/>
      <c r="E51" s="105"/>
      <c r="F51" s="105"/>
      <c r="G51" s="105"/>
      <c r="H51" s="108"/>
      <c r="I51" s="105"/>
      <c r="J51" s="108"/>
      <c r="K51" s="108"/>
      <c r="L51" s="105"/>
      <c r="M51" s="108"/>
      <c r="N51" s="105"/>
      <c r="O51" s="108"/>
      <c r="P51" s="108"/>
      <c r="Q51" s="105"/>
      <c r="R51" s="105"/>
    </row>
    <row r="52" spans="1:18" ht="18.75">
      <c r="A52" s="3" t="s">
        <v>119</v>
      </c>
      <c r="B52" s="88"/>
      <c r="C52" s="105"/>
      <c r="D52" s="105"/>
      <c r="E52" s="105"/>
      <c r="F52" s="105"/>
      <c r="G52" s="105"/>
      <c r="H52" s="108"/>
      <c r="I52" s="105"/>
      <c r="J52" s="108"/>
      <c r="K52" s="108"/>
      <c r="L52" s="105"/>
      <c r="M52" s="108"/>
      <c r="N52" s="105"/>
      <c r="O52" s="108"/>
      <c r="P52" s="108"/>
      <c r="Q52" s="105"/>
      <c r="R52" s="105"/>
    </row>
    <row r="53" spans="1:18" ht="18.75">
      <c r="A53" s="3" t="s">
        <v>119</v>
      </c>
      <c r="B53" s="88"/>
      <c r="C53" s="105"/>
      <c r="D53" s="105"/>
      <c r="E53" s="105"/>
      <c r="F53" s="105"/>
      <c r="G53" s="105"/>
      <c r="H53" s="108"/>
      <c r="I53" s="105"/>
      <c r="J53" s="108"/>
      <c r="K53" s="108"/>
      <c r="L53" s="105"/>
      <c r="M53" s="108"/>
      <c r="N53" s="105"/>
      <c r="O53" s="108"/>
      <c r="P53" s="108"/>
      <c r="Q53" s="105"/>
      <c r="R53" s="105"/>
    </row>
    <row r="54" spans="1:18" ht="18.75">
      <c r="A54" s="3" t="s">
        <v>119</v>
      </c>
      <c r="B54" s="88"/>
      <c r="C54" s="105"/>
      <c r="D54" s="105"/>
      <c r="E54" s="105"/>
      <c r="F54" s="105"/>
      <c r="G54" s="105"/>
      <c r="H54" s="108"/>
      <c r="I54" s="105"/>
      <c r="J54" s="108"/>
      <c r="K54" s="108"/>
      <c r="L54" s="105"/>
      <c r="M54" s="108"/>
      <c r="N54" s="105"/>
      <c r="O54" s="108"/>
      <c r="P54" s="108"/>
      <c r="Q54" s="105"/>
      <c r="R54" s="105"/>
    </row>
    <row r="55" spans="1:18" ht="18.75">
      <c r="A55" s="3" t="s">
        <v>119</v>
      </c>
      <c r="B55" s="88"/>
      <c r="C55" s="105"/>
      <c r="D55" s="105"/>
      <c r="E55" s="105"/>
      <c r="F55" s="105"/>
      <c r="G55" s="105"/>
      <c r="H55" s="108"/>
      <c r="I55" s="105"/>
      <c r="J55" s="108"/>
      <c r="K55" s="108"/>
      <c r="L55" s="105"/>
      <c r="M55" s="108"/>
      <c r="N55" s="105"/>
      <c r="O55" s="108"/>
      <c r="P55" s="108"/>
      <c r="Q55" s="105"/>
      <c r="R55" s="105"/>
    </row>
    <row r="56" spans="1:18" ht="18.75">
      <c r="A56" s="3" t="s">
        <v>119</v>
      </c>
      <c r="B56" s="88"/>
      <c r="C56" s="105"/>
      <c r="D56" s="105"/>
      <c r="E56" s="105"/>
      <c r="F56" s="105"/>
      <c r="G56" s="105"/>
      <c r="H56" s="108"/>
      <c r="I56" s="105"/>
      <c r="J56" s="108"/>
      <c r="K56" s="108"/>
      <c r="L56" s="105"/>
      <c r="M56" s="108"/>
      <c r="N56" s="105"/>
      <c r="O56" s="108"/>
      <c r="P56" s="108"/>
      <c r="Q56" s="105"/>
      <c r="R56" s="105"/>
    </row>
    <row r="57" spans="1:18" ht="18.75">
      <c r="A57" s="3" t="s">
        <v>119</v>
      </c>
      <c r="B57" s="88"/>
      <c r="C57" s="105"/>
      <c r="D57" s="105"/>
      <c r="E57" s="105"/>
      <c r="F57" s="105"/>
      <c r="G57" s="105"/>
      <c r="H57" s="108"/>
      <c r="I57" s="105"/>
      <c r="J57" s="108"/>
      <c r="K57" s="108"/>
      <c r="L57" s="105"/>
      <c r="M57" s="108"/>
      <c r="N57" s="105"/>
      <c r="O57" s="108"/>
      <c r="P57" s="108"/>
      <c r="Q57" s="105"/>
      <c r="R57" s="105"/>
    </row>
    <row r="58" spans="1:18" ht="18.75">
      <c r="A58" s="3" t="s">
        <v>119</v>
      </c>
      <c r="B58" s="88"/>
      <c r="C58" s="105"/>
      <c r="D58" s="105"/>
      <c r="E58" s="105"/>
      <c r="F58" s="105"/>
      <c r="G58" s="105"/>
      <c r="H58" s="108"/>
      <c r="I58" s="105"/>
      <c r="J58" s="108"/>
      <c r="K58" s="108"/>
      <c r="L58" s="105"/>
      <c r="M58" s="108"/>
      <c r="N58" s="105"/>
      <c r="O58" s="108"/>
      <c r="P58" s="108"/>
      <c r="Q58" s="105"/>
      <c r="R58" s="105"/>
    </row>
    <row r="59" spans="1:18" ht="18.75">
      <c r="A59" s="3" t="s">
        <v>119</v>
      </c>
      <c r="B59" s="88"/>
      <c r="C59" s="105"/>
      <c r="D59" s="105"/>
      <c r="E59" s="105"/>
      <c r="F59" s="105"/>
      <c r="G59" s="105"/>
      <c r="H59" s="108"/>
      <c r="I59" s="105"/>
      <c r="J59" s="108"/>
      <c r="K59" s="108"/>
      <c r="L59" s="105"/>
      <c r="M59" s="108"/>
      <c r="N59" s="105"/>
      <c r="O59" s="108"/>
      <c r="P59" s="108"/>
      <c r="Q59" s="105"/>
      <c r="R59" s="105"/>
    </row>
    <row r="60" spans="1:18" ht="18.75">
      <c r="A60" s="3" t="s">
        <v>119</v>
      </c>
      <c r="B60" s="88"/>
      <c r="C60" s="105"/>
      <c r="D60" s="105"/>
      <c r="E60" s="105"/>
      <c r="F60" s="105"/>
      <c r="G60" s="105"/>
      <c r="H60" s="108"/>
      <c r="I60" s="105"/>
      <c r="J60" s="108"/>
      <c r="K60" s="108"/>
      <c r="L60" s="105"/>
      <c r="M60" s="108"/>
      <c r="N60" s="105"/>
      <c r="O60" s="108"/>
      <c r="P60" s="108"/>
      <c r="Q60" s="105"/>
      <c r="R60" s="105"/>
    </row>
    <row r="61" spans="1:18" ht="18.75">
      <c r="A61" s="3" t="s">
        <v>119</v>
      </c>
      <c r="B61" s="88"/>
      <c r="C61" s="105"/>
      <c r="D61" s="105"/>
      <c r="E61" s="105"/>
      <c r="F61" s="105"/>
      <c r="G61" s="105"/>
      <c r="H61" s="108"/>
      <c r="I61" s="105"/>
      <c r="J61" s="108"/>
      <c r="K61" s="108"/>
      <c r="L61" s="105"/>
      <c r="M61" s="108"/>
      <c r="N61" s="105"/>
      <c r="O61" s="108"/>
      <c r="P61" s="108"/>
      <c r="Q61" s="105"/>
      <c r="R61" s="105"/>
    </row>
    <row r="62" spans="1:18" ht="18.75">
      <c r="A62" s="3" t="s">
        <v>119</v>
      </c>
      <c r="B62" s="88"/>
      <c r="C62" s="105"/>
      <c r="D62" s="105"/>
      <c r="E62" s="105"/>
      <c r="F62" s="105"/>
      <c r="G62" s="105"/>
      <c r="H62" s="108"/>
      <c r="I62" s="105"/>
      <c r="J62" s="108"/>
      <c r="K62" s="108"/>
      <c r="L62" s="105"/>
      <c r="M62" s="108"/>
      <c r="N62" s="105"/>
      <c r="O62" s="108"/>
      <c r="P62" s="108"/>
      <c r="Q62" s="105"/>
      <c r="R62" s="105"/>
    </row>
    <row r="63" spans="1:18" ht="18.75">
      <c r="A63" s="3" t="s">
        <v>119</v>
      </c>
      <c r="B63" s="88"/>
      <c r="C63" s="105"/>
      <c r="D63" s="105"/>
      <c r="E63" s="105"/>
      <c r="F63" s="105"/>
      <c r="G63" s="105"/>
      <c r="H63" s="108"/>
      <c r="I63" s="105"/>
      <c r="J63" s="108"/>
      <c r="K63" s="108"/>
      <c r="L63" s="105"/>
      <c r="M63" s="108"/>
      <c r="N63" s="105"/>
      <c r="O63" s="108"/>
      <c r="P63" s="108"/>
      <c r="Q63" s="105"/>
      <c r="R63" s="105"/>
    </row>
    <row r="64" spans="1:18" ht="18.75">
      <c r="A64" s="3" t="s">
        <v>119</v>
      </c>
      <c r="B64" s="88"/>
      <c r="C64" s="105"/>
      <c r="D64" s="105"/>
      <c r="E64" s="105"/>
      <c r="F64" s="105"/>
      <c r="G64" s="105"/>
      <c r="H64" s="108"/>
      <c r="I64" s="105"/>
      <c r="J64" s="108"/>
      <c r="K64" s="108"/>
      <c r="L64" s="105"/>
      <c r="M64" s="108"/>
      <c r="N64" s="105"/>
      <c r="O64" s="108"/>
      <c r="P64" s="108"/>
      <c r="Q64" s="105"/>
      <c r="R64" s="105"/>
    </row>
    <row r="65" spans="1:18" ht="18.75">
      <c r="A65" s="3" t="s">
        <v>119</v>
      </c>
      <c r="B65" s="88"/>
      <c r="C65" s="105"/>
      <c r="D65" s="105"/>
      <c r="E65" s="105"/>
      <c r="F65" s="105"/>
      <c r="G65" s="105"/>
      <c r="H65" s="108"/>
      <c r="I65" s="105"/>
      <c r="J65" s="108"/>
      <c r="K65" s="108"/>
      <c r="L65" s="105"/>
      <c r="M65" s="108"/>
      <c r="N65" s="105"/>
      <c r="O65" s="108"/>
      <c r="P65" s="108"/>
      <c r="Q65" s="105"/>
      <c r="R65" s="105"/>
    </row>
    <row r="66" spans="1:18" ht="18.75">
      <c r="A66" s="3" t="s">
        <v>119</v>
      </c>
      <c r="B66" s="88"/>
      <c r="C66" s="105"/>
      <c r="D66" s="105"/>
      <c r="E66" s="105"/>
      <c r="F66" s="105"/>
      <c r="G66" s="105"/>
      <c r="H66" s="108"/>
      <c r="I66" s="105"/>
      <c r="J66" s="108"/>
      <c r="K66" s="108"/>
      <c r="L66" s="105"/>
      <c r="M66" s="108"/>
      <c r="N66" s="105"/>
      <c r="O66" s="108"/>
      <c r="P66" s="108"/>
      <c r="Q66" s="105"/>
      <c r="R66" s="105"/>
    </row>
    <row r="67" spans="1:18" ht="18.75">
      <c r="A67" s="3" t="s">
        <v>119</v>
      </c>
      <c r="B67" s="88"/>
      <c r="C67" s="105"/>
      <c r="D67" s="105"/>
      <c r="E67" s="105"/>
      <c r="F67" s="105"/>
      <c r="G67" s="105"/>
      <c r="H67" s="108"/>
      <c r="I67" s="105"/>
      <c r="J67" s="108"/>
      <c r="K67" s="108"/>
      <c r="L67" s="105"/>
      <c r="M67" s="108"/>
      <c r="N67" s="105"/>
      <c r="O67" s="108"/>
      <c r="P67" s="108"/>
      <c r="Q67" s="105"/>
      <c r="R67" s="105"/>
    </row>
    <row r="68" spans="1:18" ht="18.75">
      <c r="A68" s="3" t="s">
        <v>119</v>
      </c>
      <c r="B68" s="88"/>
      <c r="C68" s="105"/>
      <c r="D68" s="105"/>
      <c r="E68" s="105"/>
      <c r="F68" s="105"/>
      <c r="G68" s="105"/>
      <c r="H68" s="108"/>
      <c r="I68" s="105"/>
      <c r="J68" s="108"/>
      <c r="K68" s="108"/>
      <c r="L68" s="105"/>
      <c r="M68" s="108"/>
      <c r="N68" s="105"/>
      <c r="O68" s="108"/>
      <c r="P68" s="108"/>
      <c r="Q68" s="105"/>
      <c r="R68" s="105"/>
    </row>
    <row r="69" spans="1:18" ht="18.75">
      <c r="A69" s="3" t="s">
        <v>119</v>
      </c>
      <c r="B69" s="88"/>
      <c r="C69" s="105"/>
      <c r="D69" s="105"/>
      <c r="E69" s="105"/>
      <c r="F69" s="105"/>
      <c r="G69" s="105"/>
      <c r="H69" s="108"/>
      <c r="I69" s="105"/>
      <c r="J69" s="108"/>
      <c r="K69" s="108"/>
      <c r="L69" s="105"/>
      <c r="M69" s="108"/>
      <c r="N69" s="105"/>
      <c r="O69" s="108"/>
      <c r="P69" s="108"/>
      <c r="Q69" s="105"/>
      <c r="R69" s="105"/>
    </row>
    <row r="70" spans="1:18" ht="18.75">
      <c r="A70" s="3" t="s">
        <v>119</v>
      </c>
      <c r="B70" s="88"/>
      <c r="C70" s="105"/>
      <c r="D70" s="105"/>
      <c r="E70" s="105"/>
      <c r="F70" s="105"/>
      <c r="G70" s="105"/>
      <c r="H70" s="108"/>
      <c r="I70" s="105"/>
      <c r="J70" s="108"/>
      <c r="K70" s="108"/>
      <c r="L70" s="105"/>
      <c r="M70" s="108"/>
      <c r="N70" s="105"/>
      <c r="O70" s="108"/>
      <c r="P70" s="108"/>
      <c r="Q70" s="105"/>
      <c r="R70" s="105"/>
    </row>
    <row r="71" spans="1:18" ht="18.75">
      <c r="A71" s="3" t="s">
        <v>119</v>
      </c>
      <c r="B71" s="88"/>
      <c r="C71" s="105"/>
      <c r="D71" s="105"/>
      <c r="E71" s="105"/>
      <c r="F71" s="105"/>
      <c r="G71" s="105"/>
      <c r="H71" s="108"/>
      <c r="I71" s="105"/>
      <c r="J71" s="108"/>
      <c r="K71" s="108"/>
      <c r="L71" s="105"/>
      <c r="M71" s="108"/>
      <c r="N71" s="105"/>
      <c r="O71" s="108"/>
      <c r="P71" s="108"/>
      <c r="Q71" s="105"/>
      <c r="R71" s="105"/>
    </row>
    <row r="72" spans="1:18" ht="18.75">
      <c r="A72" s="3" t="s">
        <v>119</v>
      </c>
      <c r="B72" s="88"/>
      <c r="C72" s="105"/>
      <c r="D72" s="105"/>
      <c r="E72" s="105"/>
      <c r="F72" s="105"/>
      <c r="G72" s="105"/>
      <c r="H72" s="108"/>
      <c r="I72" s="105"/>
      <c r="J72" s="108"/>
      <c r="K72" s="108"/>
      <c r="L72" s="105"/>
      <c r="M72" s="108"/>
      <c r="N72" s="105"/>
      <c r="O72" s="108"/>
      <c r="P72" s="108"/>
      <c r="Q72" s="105"/>
      <c r="R72" s="105"/>
    </row>
    <row r="73" spans="1:18" ht="18.75">
      <c r="A73" s="3" t="s">
        <v>119</v>
      </c>
      <c r="B73" s="88"/>
      <c r="C73" s="105"/>
      <c r="D73" s="105"/>
      <c r="E73" s="105"/>
      <c r="F73" s="105"/>
      <c r="G73" s="105"/>
      <c r="H73" s="108"/>
      <c r="I73" s="105"/>
      <c r="J73" s="108"/>
      <c r="K73" s="108"/>
      <c r="L73" s="105"/>
      <c r="M73" s="108"/>
      <c r="N73" s="105"/>
      <c r="O73" s="108"/>
      <c r="P73" s="108"/>
      <c r="Q73" s="105"/>
      <c r="R73" s="105"/>
    </row>
    <row r="74" spans="1:18" ht="18.75">
      <c r="A74" s="3" t="s">
        <v>119</v>
      </c>
      <c r="B74" s="88"/>
      <c r="C74" s="105"/>
      <c r="D74" s="105"/>
      <c r="E74" s="105"/>
      <c r="F74" s="105"/>
      <c r="G74" s="105"/>
      <c r="H74" s="108"/>
      <c r="I74" s="105"/>
      <c r="J74" s="108"/>
      <c r="K74" s="108"/>
      <c r="L74" s="105"/>
      <c r="M74" s="108"/>
      <c r="N74" s="105"/>
      <c r="O74" s="108"/>
      <c r="P74" s="108"/>
      <c r="Q74" s="105"/>
      <c r="R74" s="105"/>
    </row>
    <row r="75" spans="1:18" ht="18.75">
      <c r="A75" s="3" t="s">
        <v>119</v>
      </c>
      <c r="B75" s="88"/>
      <c r="C75" s="105"/>
      <c r="D75" s="105"/>
      <c r="E75" s="105"/>
      <c r="F75" s="105"/>
      <c r="G75" s="105"/>
      <c r="H75" s="108"/>
      <c r="I75" s="105"/>
      <c r="J75" s="108"/>
      <c r="K75" s="108"/>
      <c r="L75" s="105"/>
      <c r="M75" s="108"/>
      <c r="N75" s="105"/>
      <c r="O75" s="108"/>
      <c r="P75" s="108"/>
      <c r="Q75" s="105"/>
      <c r="R75" s="105"/>
    </row>
    <row r="76" spans="1:18" ht="18.75">
      <c r="A76" s="3" t="s">
        <v>119</v>
      </c>
      <c r="B76" s="88"/>
      <c r="C76" s="105"/>
      <c r="D76" s="105"/>
      <c r="E76" s="105"/>
      <c r="F76" s="105"/>
      <c r="G76" s="105"/>
      <c r="H76" s="108"/>
      <c r="I76" s="105"/>
      <c r="J76" s="108"/>
      <c r="K76" s="108"/>
      <c r="L76" s="105"/>
      <c r="M76" s="108"/>
      <c r="N76" s="105"/>
      <c r="O76" s="108"/>
      <c r="P76" s="108"/>
      <c r="Q76" s="105"/>
      <c r="R76" s="105"/>
    </row>
    <row r="77" spans="1:18" ht="18.75">
      <c r="A77" s="3" t="s">
        <v>119</v>
      </c>
      <c r="B77" s="88"/>
      <c r="C77" s="105"/>
      <c r="D77" s="105"/>
      <c r="E77" s="105"/>
      <c r="F77" s="105"/>
      <c r="G77" s="105"/>
      <c r="H77" s="108"/>
      <c r="I77" s="105"/>
      <c r="J77" s="108"/>
      <c r="K77" s="108"/>
      <c r="L77" s="105"/>
      <c r="M77" s="108"/>
      <c r="N77" s="105"/>
      <c r="O77" s="108"/>
      <c r="P77" s="108"/>
      <c r="Q77" s="105"/>
      <c r="R77" s="105"/>
    </row>
    <row r="78" spans="1:18" ht="18.75">
      <c r="A78" s="3" t="s">
        <v>119</v>
      </c>
      <c r="B78" s="88"/>
      <c r="C78" s="105"/>
      <c r="D78" s="105"/>
      <c r="E78" s="105"/>
      <c r="F78" s="105"/>
      <c r="G78" s="105"/>
      <c r="H78" s="108"/>
      <c r="I78" s="105"/>
      <c r="J78" s="108"/>
      <c r="K78" s="108"/>
      <c r="L78" s="105"/>
      <c r="M78" s="108"/>
      <c r="N78" s="105"/>
      <c r="O78" s="108"/>
      <c r="P78" s="108"/>
      <c r="Q78" s="105"/>
      <c r="R78" s="105"/>
    </row>
    <row r="79" spans="1:18" ht="18.75">
      <c r="A79" s="3" t="s">
        <v>119</v>
      </c>
      <c r="B79" s="88"/>
      <c r="C79" s="105"/>
      <c r="D79" s="105"/>
      <c r="E79" s="105"/>
      <c r="F79" s="105"/>
      <c r="G79" s="105"/>
      <c r="H79" s="108"/>
      <c r="I79" s="105"/>
      <c r="J79" s="108"/>
      <c r="K79" s="108"/>
      <c r="L79" s="105"/>
      <c r="M79" s="108"/>
      <c r="N79" s="105"/>
      <c r="O79" s="108"/>
      <c r="P79" s="108"/>
      <c r="Q79" s="105"/>
      <c r="R79" s="105"/>
    </row>
    <row r="80" spans="1:18" ht="18.75">
      <c r="A80" s="3" t="s">
        <v>119</v>
      </c>
      <c r="B80" s="88"/>
      <c r="C80" s="105"/>
      <c r="D80" s="105"/>
      <c r="E80" s="105"/>
      <c r="F80" s="105"/>
      <c r="G80" s="105"/>
      <c r="H80" s="108"/>
      <c r="I80" s="105"/>
      <c r="J80" s="108"/>
      <c r="K80" s="108"/>
      <c r="L80" s="105"/>
      <c r="M80" s="108"/>
      <c r="N80" s="105"/>
      <c r="O80" s="108"/>
      <c r="P80" s="108"/>
      <c r="Q80" s="105"/>
      <c r="R80" s="105"/>
    </row>
    <row r="81" spans="1:18" ht="18.75">
      <c r="A81" s="3" t="s">
        <v>119</v>
      </c>
      <c r="B81" s="88"/>
      <c r="C81" s="105"/>
      <c r="D81" s="105"/>
      <c r="E81" s="105"/>
      <c r="F81" s="105"/>
      <c r="G81" s="105"/>
      <c r="H81" s="108"/>
      <c r="I81" s="105"/>
      <c r="J81" s="108"/>
      <c r="K81" s="108"/>
      <c r="L81" s="105"/>
      <c r="M81" s="108"/>
      <c r="N81" s="105"/>
      <c r="O81" s="108"/>
      <c r="P81" s="108"/>
      <c r="Q81" s="105"/>
      <c r="R81" s="105"/>
    </row>
    <row r="82" spans="1:18" ht="18.75">
      <c r="A82" s="3" t="s">
        <v>119</v>
      </c>
      <c r="B82" s="88"/>
      <c r="C82" s="105"/>
      <c r="D82" s="105"/>
      <c r="E82" s="105"/>
      <c r="F82" s="105"/>
      <c r="G82" s="105"/>
      <c r="H82" s="108"/>
      <c r="I82" s="105"/>
      <c r="J82" s="108"/>
      <c r="K82" s="108"/>
      <c r="L82" s="105"/>
      <c r="M82" s="108"/>
      <c r="N82" s="105"/>
      <c r="O82" s="108"/>
      <c r="P82" s="108"/>
      <c r="Q82" s="105"/>
      <c r="R82" s="105"/>
    </row>
    <row r="83" spans="1:18" ht="18.75">
      <c r="A83" s="3" t="s">
        <v>119</v>
      </c>
      <c r="B83" s="88"/>
      <c r="C83" s="105"/>
      <c r="D83" s="105"/>
      <c r="E83" s="105"/>
      <c r="F83" s="105"/>
      <c r="G83" s="105"/>
      <c r="H83" s="108"/>
      <c r="I83" s="105"/>
      <c r="J83" s="108"/>
      <c r="K83" s="108"/>
      <c r="L83" s="105"/>
      <c r="M83" s="108"/>
      <c r="N83" s="105"/>
      <c r="O83" s="108"/>
      <c r="P83" s="108"/>
      <c r="Q83" s="105"/>
      <c r="R83" s="105"/>
    </row>
    <row r="84" spans="1:18" ht="18.75">
      <c r="A84" s="3" t="s">
        <v>119</v>
      </c>
      <c r="B84" s="88"/>
      <c r="C84" s="105"/>
      <c r="D84" s="105"/>
      <c r="E84" s="105"/>
      <c r="F84" s="105"/>
      <c r="G84" s="105"/>
      <c r="H84" s="108"/>
      <c r="I84" s="105"/>
      <c r="J84" s="108"/>
      <c r="K84" s="108"/>
      <c r="L84" s="105"/>
      <c r="M84" s="108"/>
      <c r="N84" s="105"/>
      <c r="O84" s="108"/>
      <c r="P84" s="108"/>
      <c r="Q84" s="105"/>
      <c r="R84" s="105"/>
    </row>
    <row r="85" spans="1:18" ht="18.75">
      <c r="A85" s="3" t="s">
        <v>119</v>
      </c>
      <c r="B85" s="88"/>
      <c r="C85" s="105"/>
      <c r="D85" s="105"/>
      <c r="E85" s="105"/>
      <c r="F85" s="105"/>
      <c r="G85" s="105"/>
      <c r="H85" s="108"/>
      <c r="I85" s="105"/>
      <c r="J85" s="108"/>
      <c r="K85" s="108"/>
      <c r="L85" s="105"/>
      <c r="M85" s="108"/>
      <c r="N85" s="105"/>
      <c r="O85" s="108"/>
      <c r="P85" s="108"/>
      <c r="Q85" s="105"/>
      <c r="R85" s="105"/>
    </row>
    <row r="86" spans="1:18" ht="18.75">
      <c r="A86" s="3" t="s">
        <v>119</v>
      </c>
      <c r="B86" s="88"/>
      <c r="C86" s="105"/>
      <c r="D86" s="105"/>
      <c r="E86" s="105"/>
      <c r="F86" s="105"/>
      <c r="G86" s="105"/>
      <c r="H86" s="108"/>
      <c r="I86" s="105"/>
      <c r="J86" s="108"/>
      <c r="K86" s="108"/>
      <c r="L86" s="105"/>
      <c r="M86" s="108"/>
      <c r="N86" s="105"/>
      <c r="O86" s="108"/>
      <c r="P86" s="108"/>
      <c r="Q86" s="105"/>
      <c r="R86" s="105"/>
    </row>
    <row r="87" spans="1:18" ht="18.75">
      <c r="A87" s="3" t="s">
        <v>119</v>
      </c>
      <c r="B87" s="88"/>
      <c r="C87" s="105"/>
      <c r="D87" s="105"/>
      <c r="E87" s="105"/>
      <c r="F87" s="105"/>
      <c r="G87" s="105"/>
      <c r="H87" s="108"/>
      <c r="I87" s="105"/>
      <c r="J87" s="108"/>
      <c r="K87" s="108"/>
      <c r="L87" s="105"/>
      <c r="M87" s="108"/>
      <c r="N87" s="105"/>
      <c r="O87" s="108"/>
      <c r="P87" s="108"/>
      <c r="Q87" s="105"/>
      <c r="R87" s="105"/>
    </row>
    <row r="88" spans="1:18" ht="18.75">
      <c r="A88" s="3" t="s">
        <v>119</v>
      </c>
      <c r="B88" s="88"/>
      <c r="C88" s="105"/>
      <c r="D88" s="105"/>
      <c r="E88" s="105"/>
      <c r="F88" s="105"/>
      <c r="G88" s="105"/>
      <c r="H88" s="108"/>
      <c r="I88" s="105"/>
      <c r="J88" s="108"/>
      <c r="K88" s="108"/>
      <c r="L88" s="105"/>
      <c r="M88" s="108"/>
      <c r="N88" s="105"/>
      <c r="O88" s="108"/>
      <c r="P88" s="108"/>
      <c r="Q88" s="105"/>
      <c r="R88" s="105"/>
    </row>
    <row r="89" spans="1:18" ht="18.75">
      <c r="A89" s="3" t="s">
        <v>119</v>
      </c>
      <c r="B89" s="88"/>
      <c r="C89" s="105"/>
      <c r="D89" s="105"/>
      <c r="E89" s="105"/>
      <c r="F89" s="105"/>
      <c r="G89" s="105"/>
      <c r="H89" s="108"/>
      <c r="I89" s="105"/>
      <c r="J89" s="108"/>
      <c r="K89" s="108"/>
      <c r="L89" s="105"/>
      <c r="M89" s="108"/>
      <c r="N89" s="105"/>
      <c r="O89" s="108"/>
      <c r="P89" s="108"/>
      <c r="Q89" s="105"/>
      <c r="R89" s="105"/>
    </row>
    <row r="90" spans="1:18" ht="18.75">
      <c r="A90" s="3" t="s">
        <v>119</v>
      </c>
      <c r="B90" s="88"/>
      <c r="C90" s="105"/>
      <c r="D90" s="105"/>
      <c r="E90" s="105"/>
      <c r="F90" s="105"/>
      <c r="G90" s="105"/>
      <c r="H90" s="108"/>
      <c r="I90" s="105"/>
      <c r="J90" s="108"/>
      <c r="K90" s="108"/>
      <c r="L90" s="105"/>
      <c r="M90" s="108"/>
      <c r="N90" s="105"/>
      <c r="O90" s="108"/>
      <c r="P90" s="108"/>
      <c r="Q90" s="105"/>
      <c r="R90" s="105"/>
    </row>
    <row r="91" spans="1:18" ht="18.75">
      <c r="A91" s="3" t="s">
        <v>119</v>
      </c>
      <c r="B91" s="88"/>
      <c r="C91" s="105"/>
      <c r="D91" s="105"/>
      <c r="E91" s="105"/>
      <c r="F91" s="105"/>
      <c r="G91" s="105"/>
      <c r="H91" s="108"/>
      <c r="I91" s="105"/>
      <c r="J91" s="108"/>
      <c r="K91" s="108"/>
      <c r="L91" s="105"/>
      <c r="M91" s="108"/>
      <c r="N91" s="105"/>
      <c r="O91" s="108"/>
      <c r="P91" s="108"/>
      <c r="Q91" s="105"/>
      <c r="R91" s="105"/>
    </row>
    <row r="92" spans="1:18" ht="18.75">
      <c r="A92" s="3" t="s">
        <v>119</v>
      </c>
      <c r="B92" s="88"/>
      <c r="C92" s="105"/>
      <c r="D92" s="105"/>
      <c r="E92" s="105"/>
      <c r="F92" s="105"/>
      <c r="G92" s="105"/>
      <c r="H92" s="108"/>
      <c r="I92" s="105"/>
      <c r="J92" s="108"/>
      <c r="K92" s="108"/>
      <c r="L92" s="105"/>
      <c r="M92" s="108"/>
      <c r="N92" s="105"/>
      <c r="O92" s="108"/>
      <c r="P92" s="108"/>
      <c r="Q92" s="105"/>
      <c r="R92" s="105"/>
    </row>
    <row r="93" spans="1:18" ht="18.75">
      <c r="A93" s="3" t="s">
        <v>119</v>
      </c>
      <c r="B93" s="88"/>
      <c r="C93" s="105"/>
      <c r="D93" s="105"/>
      <c r="E93" s="105"/>
      <c r="F93" s="105"/>
      <c r="G93" s="105"/>
      <c r="H93" s="108"/>
      <c r="I93" s="105"/>
      <c r="J93" s="108"/>
      <c r="K93" s="108"/>
      <c r="L93" s="105"/>
      <c r="M93" s="108"/>
      <c r="N93" s="105"/>
      <c r="O93" s="108"/>
      <c r="P93" s="108"/>
      <c r="Q93" s="105"/>
      <c r="R93" s="105"/>
    </row>
    <row r="94" spans="1:18" ht="18.75">
      <c r="A94" s="3" t="s">
        <v>119</v>
      </c>
      <c r="B94" s="88"/>
      <c r="C94" s="105"/>
      <c r="D94" s="105"/>
      <c r="E94" s="105"/>
      <c r="F94" s="105"/>
      <c r="G94" s="105"/>
      <c r="H94" s="108"/>
      <c r="I94" s="105"/>
      <c r="J94" s="108"/>
      <c r="K94" s="108"/>
      <c r="L94" s="105"/>
      <c r="M94" s="108"/>
      <c r="N94" s="105"/>
      <c r="O94" s="108"/>
      <c r="P94" s="108"/>
      <c r="Q94" s="105"/>
      <c r="R94" s="105"/>
    </row>
    <row r="95" spans="1:18" ht="18.75">
      <c r="A95" s="3" t="s">
        <v>119</v>
      </c>
      <c r="B95" s="88"/>
      <c r="C95" s="105"/>
      <c r="D95" s="105"/>
      <c r="E95" s="105"/>
      <c r="F95" s="105"/>
      <c r="G95" s="105"/>
      <c r="H95" s="108"/>
      <c r="I95" s="105"/>
      <c r="J95" s="108"/>
      <c r="K95" s="108"/>
      <c r="L95" s="105"/>
      <c r="M95" s="108"/>
      <c r="N95" s="105"/>
      <c r="O95" s="108"/>
      <c r="P95" s="108"/>
      <c r="Q95" s="105"/>
      <c r="R95" s="105"/>
    </row>
    <row r="96" spans="1:18" ht="18.75">
      <c r="A96" s="3" t="s">
        <v>119</v>
      </c>
      <c r="B96" s="88"/>
      <c r="C96" s="105"/>
      <c r="D96" s="105"/>
      <c r="E96" s="105"/>
      <c r="F96" s="105"/>
      <c r="G96" s="105"/>
      <c r="H96" s="108"/>
      <c r="I96" s="105"/>
      <c r="J96" s="108"/>
      <c r="K96" s="108"/>
      <c r="L96" s="105"/>
      <c r="M96" s="108"/>
      <c r="N96" s="105"/>
      <c r="O96" s="108"/>
      <c r="P96" s="108"/>
      <c r="Q96" s="105"/>
      <c r="R96" s="105"/>
    </row>
    <row r="97" spans="1:18" ht="18.75">
      <c r="A97" s="3" t="s">
        <v>119</v>
      </c>
      <c r="B97" s="88"/>
      <c r="C97" s="105"/>
      <c r="D97" s="105"/>
      <c r="E97" s="105"/>
      <c r="F97" s="105"/>
      <c r="G97" s="105"/>
      <c r="H97" s="108"/>
      <c r="I97" s="105"/>
      <c r="J97" s="108"/>
      <c r="K97" s="108"/>
      <c r="L97" s="105"/>
      <c r="M97" s="108"/>
      <c r="N97" s="105"/>
      <c r="O97" s="108"/>
      <c r="P97" s="108"/>
      <c r="Q97" s="105"/>
      <c r="R97" s="105"/>
    </row>
    <row r="98" spans="1:18" ht="18.75">
      <c r="A98" s="3" t="s">
        <v>119</v>
      </c>
      <c r="B98" s="88"/>
      <c r="C98" s="105"/>
      <c r="D98" s="105"/>
      <c r="E98" s="105"/>
      <c r="F98" s="105"/>
      <c r="G98" s="105"/>
      <c r="H98" s="108"/>
      <c r="I98" s="105"/>
      <c r="J98" s="108"/>
      <c r="K98" s="108"/>
      <c r="L98" s="105"/>
      <c r="M98" s="108"/>
      <c r="N98" s="105"/>
      <c r="O98" s="108"/>
      <c r="P98" s="108"/>
      <c r="Q98" s="105"/>
      <c r="R98" s="105"/>
    </row>
    <row r="99" spans="1:18" ht="18.75">
      <c r="A99" s="3" t="s">
        <v>119</v>
      </c>
      <c r="B99" s="88"/>
      <c r="C99" s="105"/>
      <c r="D99" s="105"/>
      <c r="E99" s="105"/>
      <c r="F99" s="105"/>
      <c r="G99" s="105"/>
      <c r="H99" s="108"/>
      <c r="I99" s="105"/>
      <c r="J99" s="108"/>
      <c r="K99" s="108"/>
      <c r="L99" s="105"/>
      <c r="M99" s="108"/>
      <c r="N99" s="105"/>
      <c r="O99" s="108"/>
      <c r="P99" s="108"/>
      <c r="Q99" s="105"/>
      <c r="R99" s="105"/>
    </row>
    <row r="100" spans="1:18" ht="18.75">
      <c r="A100" s="3" t="s">
        <v>119</v>
      </c>
      <c r="B100" s="88"/>
      <c r="C100" s="105"/>
      <c r="D100" s="105"/>
      <c r="E100" s="105"/>
      <c r="F100" s="105"/>
      <c r="G100" s="105"/>
      <c r="H100" s="108"/>
      <c r="I100" s="105"/>
      <c r="J100" s="108"/>
      <c r="K100" s="108"/>
      <c r="L100" s="105"/>
      <c r="M100" s="108"/>
      <c r="N100" s="105"/>
      <c r="O100" s="108"/>
      <c r="P100" s="108"/>
      <c r="Q100" s="105"/>
      <c r="R100" s="105"/>
    </row>
    <row r="101" spans="1:18" ht="18.75">
      <c r="A101" s="3" t="s">
        <v>119</v>
      </c>
      <c r="B101" s="88"/>
      <c r="C101" s="105"/>
      <c r="D101" s="105"/>
      <c r="E101" s="105"/>
      <c r="F101" s="105"/>
      <c r="G101" s="105"/>
      <c r="H101" s="108"/>
      <c r="I101" s="105"/>
      <c r="J101" s="108"/>
      <c r="K101" s="108"/>
      <c r="L101" s="105"/>
      <c r="M101" s="108"/>
      <c r="N101" s="105"/>
      <c r="O101" s="108"/>
      <c r="P101" s="108"/>
      <c r="Q101" s="105"/>
      <c r="R101" s="105"/>
    </row>
    <row r="102" spans="1:18" ht="18.75">
      <c r="A102" s="3" t="s">
        <v>119</v>
      </c>
      <c r="B102" s="88"/>
      <c r="C102" s="105"/>
      <c r="D102" s="105"/>
      <c r="E102" s="105"/>
      <c r="F102" s="105"/>
      <c r="G102" s="105"/>
      <c r="H102" s="108"/>
      <c r="I102" s="105"/>
      <c r="J102" s="108"/>
      <c r="K102" s="108"/>
      <c r="L102" s="105"/>
      <c r="M102" s="108"/>
      <c r="N102" s="105"/>
      <c r="O102" s="108"/>
      <c r="P102" s="108"/>
      <c r="Q102" s="105"/>
      <c r="R102" s="105"/>
    </row>
    <row r="103" spans="1:18" ht="18.75">
      <c r="A103" s="3" t="s">
        <v>119</v>
      </c>
      <c r="B103" s="88"/>
      <c r="C103" s="105"/>
      <c r="D103" s="105"/>
      <c r="E103" s="105"/>
      <c r="F103" s="105"/>
      <c r="G103" s="105"/>
      <c r="H103" s="108"/>
      <c r="I103" s="105"/>
      <c r="J103" s="108"/>
      <c r="K103" s="108"/>
      <c r="L103" s="105"/>
      <c r="M103" s="108"/>
      <c r="N103" s="105"/>
      <c r="O103" s="108"/>
      <c r="P103" s="108"/>
      <c r="Q103" s="105"/>
      <c r="R103" s="105"/>
    </row>
    <row r="104" spans="1:18" ht="18.75">
      <c r="A104" s="3" t="s">
        <v>119</v>
      </c>
      <c r="B104" s="88"/>
      <c r="C104" s="105"/>
      <c r="D104" s="105"/>
      <c r="E104" s="105"/>
      <c r="F104" s="105"/>
      <c r="G104" s="105"/>
      <c r="H104" s="108"/>
      <c r="I104" s="105"/>
      <c r="J104" s="108"/>
      <c r="K104" s="108"/>
      <c r="L104" s="105"/>
      <c r="M104" s="108"/>
      <c r="N104" s="105"/>
      <c r="O104" s="108"/>
      <c r="P104" s="108"/>
      <c r="Q104" s="105"/>
      <c r="R104" s="105"/>
    </row>
    <row r="105" spans="1:18" ht="18.75">
      <c r="A105" s="3" t="s">
        <v>119</v>
      </c>
      <c r="B105" s="88"/>
      <c r="C105" s="105"/>
      <c r="D105" s="105"/>
      <c r="E105" s="105"/>
      <c r="F105" s="105"/>
      <c r="G105" s="105"/>
      <c r="H105" s="108"/>
      <c r="I105" s="105"/>
      <c r="J105" s="108"/>
      <c r="K105" s="108"/>
      <c r="L105" s="105"/>
      <c r="M105" s="108"/>
      <c r="N105" s="105"/>
      <c r="O105" s="108"/>
      <c r="P105" s="108"/>
      <c r="Q105" s="105"/>
      <c r="R105" s="105"/>
    </row>
    <row r="106" spans="1:18" ht="18.75">
      <c r="A106" s="3" t="s">
        <v>119</v>
      </c>
      <c r="B106" s="88"/>
      <c r="C106" s="105"/>
      <c r="D106" s="105"/>
      <c r="E106" s="105"/>
      <c r="F106" s="105"/>
      <c r="G106" s="105"/>
      <c r="H106" s="108"/>
      <c r="I106" s="105"/>
      <c r="J106" s="108"/>
      <c r="K106" s="108"/>
      <c r="L106" s="105"/>
      <c r="M106" s="108"/>
      <c r="N106" s="105"/>
      <c r="O106" s="108"/>
      <c r="P106" s="108"/>
      <c r="Q106" s="105"/>
      <c r="R106" s="105"/>
    </row>
    <row r="107" spans="1:18" ht="18.75">
      <c r="A107" s="3" t="s">
        <v>119</v>
      </c>
      <c r="B107" s="88"/>
      <c r="C107" s="105"/>
      <c r="D107" s="105"/>
      <c r="E107" s="105"/>
      <c r="F107" s="105"/>
      <c r="G107" s="105"/>
      <c r="H107" s="108"/>
      <c r="I107" s="105"/>
      <c r="J107" s="108"/>
      <c r="K107" s="108"/>
      <c r="L107" s="105"/>
      <c r="M107" s="108"/>
      <c r="N107" s="105"/>
      <c r="O107" s="108"/>
      <c r="P107" s="108"/>
      <c r="Q107" s="105"/>
      <c r="R107" s="105"/>
    </row>
    <row r="108" spans="1:18" ht="18.75">
      <c r="A108" s="3" t="s">
        <v>119</v>
      </c>
      <c r="B108" s="88"/>
      <c r="C108" s="105"/>
      <c r="D108" s="105"/>
      <c r="E108" s="105"/>
      <c r="F108" s="105"/>
      <c r="G108" s="105"/>
      <c r="H108" s="108"/>
      <c r="I108" s="105"/>
      <c r="J108" s="108"/>
      <c r="K108" s="108"/>
      <c r="L108" s="105"/>
      <c r="M108" s="108"/>
      <c r="N108" s="105"/>
      <c r="O108" s="108"/>
      <c r="P108" s="108"/>
      <c r="Q108" s="105"/>
      <c r="R108" s="105"/>
    </row>
    <row r="109" spans="1:18" ht="18.75">
      <c r="A109" s="3" t="s">
        <v>119</v>
      </c>
      <c r="B109" s="88"/>
      <c r="C109" s="105"/>
      <c r="D109" s="105"/>
      <c r="E109" s="105"/>
      <c r="F109" s="105"/>
      <c r="G109" s="105"/>
      <c r="H109" s="108"/>
      <c r="I109" s="105"/>
      <c r="J109" s="108"/>
      <c r="K109" s="108"/>
      <c r="L109" s="105"/>
      <c r="M109" s="108"/>
      <c r="N109" s="105"/>
      <c r="O109" s="108"/>
      <c r="P109" s="108"/>
      <c r="Q109" s="105"/>
      <c r="R109" s="105"/>
    </row>
    <row r="110" spans="1:18" ht="18.75">
      <c r="A110" s="3" t="s">
        <v>119</v>
      </c>
      <c r="B110" s="88"/>
      <c r="C110" s="105"/>
      <c r="D110" s="105"/>
      <c r="E110" s="105"/>
      <c r="F110" s="105"/>
      <c r="G110" s="105"/>
      <c r="H110" s="108"/>
      <c r="I110" s="105"/>
      <c r="J110" s="108"/>
      <c r="K110" s="108"/>
      <c r="L110" s="105"/>
      <c r="M110" s="108"/>
      <c r="N110" s="105"/>
      <c r="O110" s="108"/>
      <c r="P110" s="108"/>
      <c r="Q110" s="105"/>
      <c r="R110" s="105"/>
    </row>
    <row r="111" spans="1:18" ht="18.75">
      <c r="A111" s="3" t="s">
        <v>119</v>
      </c>
      <c r="B111" s="88"/>
      <c r="C111" s="105"/>
      <c r="D111" s="105"/>
      <c r="E111" s="105"/>
      <c r="F111" s="105"/>
      <c r="G111" s="105"/>
      <c r="H111" s="108"/>
      <c r="I111" s="105"/>
      <c r="J111" s="108"/>
      <c r="K111" s="108"/>
      <c r="L111" s="105"/>
      <c r="M111" s="108"/>
      <c r="N111" s="105"/>
      <c r="O111" s="108"/>
      <c r="P111" s="108"/>
      <c r="Q111" s="105"/>
      <c r="R111" s="105"/>
    </row>
    <row r="112" spans="1:18" ht="18.75">
      <c r="A112" s="3" t="s">
        <v>119</v>
      </c>
      <c r="B112" s="88"/>
      <c r="C112" s="105"/>
      <c r="D112" s="105"/>
      <c r="E112" s="105"/>
      <c r="F112" s="105"/>
      <c r="G112" s="105"/>
      <c r="H112" s="108"/>
      <c r="I112" s="105"/>
      <c r="J112" s="108"/>
      <c r="K112" s="108"/>
      <c r="L112" s="105"/>
      <c r="M112" s="108"/>
      <c r="N112" s="105"/>
      <c r="O112" s="108"/>
      <c r="P112" s="108"/>
      <c r="Q112" s="105"/>
      <c r="R112" s="105"/>
    </row>
    <row r="113" spans="1:18" ht="18.75">
      <c r="A113" s="3" t="s">
        <v>119</v>
      </c>
      <c r="B113" s="88"/>
      <c r="C113" s="105"/>
      <c r="D113" s="105"/>
      <c r="E113" s="105"/>
      <c r="F113" s="105"/>
      <c r="G113" s="105"/>
      <c r="H113" s="108"/>
      <c r="I113" s="105"/>
      <c r="J113" s="108"/>
      <c r="K113" s="108"/>
      <c r="L113" s="105"/>
      <c r="M113" s="108"/>
      <c r="N113" s="105"/>
      <c r="O113" s="108"/>
      <c r="P113" s="108"/>
      <c r="Q113" s="105"/>
      <c r="R113" s="105"/>
    </row>
    <row r="114" spans="1:18" ht="18.75">
      <c r="A114" s="3" t="s">
        <v>119</v>
      </c>
      <c r="B114" s="88"/>
      <c r="C114" s="105"/>
      <c r="D114" s="105"/>
      <c r="E114" s="105"/>
      <c r="F114" s="105"/>
      <c r="G114" s="105"/>
      <c r="H114" s="108"/>
      <c r="I114" s="105"/>
      <c r="J114" s="108"/>
      <c r="K114" s="108"/>
      <c r="L114" s="105"/>
      <c r="M114" s="108"/>
      <c r="N114" s="105"/>
      <c r="O114" s="108"/>
      <c r="P114" s="108"/>
      <c r="Q114" s="105"/>
      <c r="R114" s="105"/>
    </row>
    <row r="115" spans="1:18" ht="18.75">
      <c r="A115" s="3" t="s">
        <v>119</v>
      </c>
      <c r="B115" s="88"/>
      <c r="C115" s="105"/>
      <c r="D115" s="105"/>
      <c r="E115" s="105"/>
      <c r="F115" s="105"/>
      <c r="G115" s="105"/>
      <c r="H115" s="108"/>
      <c r="I115" s="105"/>
      <c r="J115" s="108"/>
      <c r="K115" s="108"/>
      <c r="L115" s="105"/>
      <c r="M115" s="108"/>
      <c r="N115" s="105"/>
      <c r="O115" s="108"/>
      <c r="P115" s="108"/>
      <c r="Q115" s="105"/>
      <c r="R115" s="105"/>
    </row>
    <row r="116" spans="1:18" ht="18.75">
      <c r="A116" s="3" t="s">
        <v>119</v>
      </c>
      <c r="B116" s="88"/>
      <c r="C116" s="105"/>
      <c r="D116" s="105"/>
      <c r="E116" s="105"/>
      <c r="F116" s="105"/>
      <c r="G116" s="105"/>
      <c r="H116" s="108"/>
      <c r="I116" s="105"/>
      <c r="J116" s="108"/>
      <c r="K116" s="108"/>
      <c r="L116" s="105"/>
      <c r="M116" s="108"/>
      <c r="N116" s="105"/>
      <c r="O116" s="108"/>
      <c r="P116" s="108"/>
      <c r="Q116" s="105"/>
      <c r="R116" s="105"/>
    </row>
    <row r="117" spans="1:18" ht="18.75">
      <c r="A117" s="3" t="s">
        <v>119</v>
      </c>
      <c r="B117" s="88"/>
      <c r="C117" s="105"/>
      <c r="D117" s="105"/>
      <c r="E117" s="105"/>
      <c r="F117" s="105"/>
      <c r="G117" s="105"/>
      <c r="H117" s="108"/>
      <c r="I117" s="105"/>
      <c r="J117" s="108"/>
      <c r="K117" s="108"/>
      <c r="L117" s="105"/>
      <c r="M117" s="108"/>
      <c r="N117" s="105"/>
      <c r="O117" s="108"/>
      <c r="P117" s="108"/>
      <c r="Q117" s="105"/>
      <c r="R117" s="105"/>
    </row>
    <row r="118" spans="1:18" ht="18.75">
      <c r="A118" s="3" t="s">
        <v>119</v>
      </c>
      <c r="B118" s="88"/>
      <c r="C118" s="105"/>
      <c r="D118" s="105"/>
      <c r="E118" s="105"/>
      <c r="F118" s="105"/>
      <c r="G118" s="105"/>
      <c r="H118" s="108"/>
      <c r="I118" s="105"/>
      <c r="J118" s="108"/>
      <c r="K118" s="108"/>
      <c r="L118" s="105"/>
      <c r="M118" s="108"/>
      <c r="N118" s="105"/>
      <c r="O118" s="108"/>
      <c r="P118" s="108"/>
      <c r="Q118" s="105"/>
      <c r="R118" s="105"/>
    </row>
    <row r="119" spans="1:18" ht="18.75">
      <c r="A119" s="3" t="s">
        <v>119</v>
      </c>
      <c r="B119" s="88"/>
      <c r="C119" s="105"/>
      <c r="D119" s="105"/>
      <c r="E119" s="105"/>
      <c r="F119" s="105"/>
      <c r="G119" s="105"/>
      <c r="H119" s="108"/>
      <c r="I119" s="105"/>
      <c r="J119" s="108"/>
      <c r="K119" s="108"/>
      <c r="L119" s="105"/>
      <c r="M119" s="108"/>
      <c r="N119" s="105"/>
      <c r="O119" s="108"/>
      <c r="P119" s="108"/>
      <c r="Q119" s="105"/>
      <c r="R119" s="105"/>
    </row>
    <row r="120" spans="1:18" ht="18.75">
      <c r="A120" s="3" t="s">
        <v>119</v>
      </c>
      <c r="B120" s="88"/>
      <c r="C120" s="105"/>
      <c r="D120" s="105"/>
      <c r="E120" s="105"/>
      <c r="F120" s="105"/>
      <c r="G120" s="105"/>
      <c r="H120" s="108"/>
      <c r="I120" s="105"/>
      <c r="J120" s="108"/>
      <c r="K120" s="108"/>
      <c r="L120" s="105"/>
      <c r="M120" s="108"/>
      <c r="N120" s="105"/>
      <c r="O120" s="108"/>
      <c r="P120" s="108"/>
      <c r="Q120" s="105"/>
      <c r="R120" s="105"/>
    </row>
    <row r="121" spans="1:18" ht="18.75">
      <c r="A121" s="3" t="s">
        <v>119</v>
      </c>
      <c r="B121" s="88"/>
      <c r="C121" s="105"/>
      <c r="D121" s="105"/>
      <c r="E121" s="105"/>
      <c r="F121" s="105"/>
      <c r="G121" s="105"/>
      <c r="H121" s="108"/>
      <c r="I121" s="105"/>
      <c r="J121" s="108"/>
      <c r="K121" s="108"/>
      <c r="L121" s="105"/>
      <c r="M121" s="108"/>
      <c r="N121" s="105"/>
      <c r="O121" s="108"/>
      <c r="P121" s="108"/>
      <c r="Q121" s="105"/>
      <c r="R121" s="105"/>
    </row>
    <row r="122" spans="1:18" ht="18.75">
      <c r="A122" s="3" t="s">
        <v>119</v>
      </c>
      <c r="B122" s="88"/>
      <c r="C122" s="105"/>
      <c r="D122" s="105"/>
      <c r="E122" s="105"/>
      <c r="F122" s="105"/>
      <c r="G122" s="105"/>
      <c r="H122" s="108"/>
      <c r="I122" s="105"/>
      <c r="J122" s="108"/>
      <c r="K122" s="108"/>
      <c r="L122" s="105"/>
      <c r="M122" s="108"/>
      <c r="N122" s="105"/>
      <c r="O122" s="108"/>
      <c r="P122" s="108"/>
      <c r="Q122" s="105"/>
      <c r="R122" s="105"/>
    </row>
    <row r="123" spans="1:18" ht="18.75">
      <c r="A123" s="3" t="s">
        <v>119</v>
      </c>
      <c r="B123" s="88"/>
      <c r="C123" s="105"/>
      <c r="D123" s="105"/>
      <c r="E123" s="105"/>
      <c r="F123" s="105"/>
      <c r="G123" s="105"/>
      <c r="H123" s="108"/>
      <c r="I123" s="105"/>
      <c r="J123" s="108"/>
      <c r="K123" s="108"/>
      <c r="L123" s="105"/>
      <c r="M123" s="108"/>
      <c r="N123" s="105"/>
      <c r="O123" s="108"/>
      <c r="P123" s="108"/>
      <c r="Q123" s="105"/>
      <c r="R123" s="105"/>
    </row>
    <row r="124" spans="1:18" ht="18.75">
      <c r="A124" s="3" t="s">
        <v>119</v>
      </c>
      <c r="B124" s="88"/>
      <c r="C124" s="105"/>
      <c r="D124" s="105"/>
      <c r="E124" s="105"/>
      <c r="F124" s="105"/>
      <c r="G124" s="105"/>
      <c r="H124" s="108"/>
      <c r="I124" s="105"/>
      <c r="J124" s="108"/>
      <c r="K124" s="108"/>
      <c r="L124" s="105"/>
      <c r="M124" s="108"/>
      <c r="N124" s="105"/>
      <c r="O124" s="108"/>
      <c r="P124" s="108"/>
      <c r="Q124" s="105"/>
      <c r="R124" s="105"/>
    </row>
    <row r="125" spans="1:18" ht="18.75">
      <c r="A125" s="3" t="s">
        <v>119</v>
      </c>
      <c r="B125" s="88"/>
      <c r="C125" s="105"/>
      <c r="D125" s="105"/>
      <c r="E125" s="105"/>
      <c r="F125" s="105"/>
      <c r="G125" s="105"/>
      <c r="H125" s="108"/>
      <c r="I125" s="105"/>
      <c r="J125" s="108"/>
      <c r="K125" s="108"/>
      <c r="L125" s="105"/>
      <c r="M125" s="108"/>
      <c r="N125" s="105"/>
      <c r="O125" s="108"/>
      <c r="P125" s="108"/>
      <c r="Q125" s="105"/>
      <c r="R125" s="105"/>
    </row>
    <row r="126" spans="1:18" ht="18.75">
      <c r="A126" s="3" t="s">
        <v>119</v>
      </c>
      <c r="B126" s="88"/>
      <c r="C126" s="105"/>
      <c r="D126" s="105"/>
      <c r="E126" s="105"/>
      <c r="F126" s="105"/>
      <c r="G126" s="105"/>
      <c r="H126" s="108"/>
      <c r="I126" s="105"/>
      <c r="J126" s="108"/>
      <c r="K126" s="108"/>
      <c r="L126" s="105"/>
      <c r="M126" s="108"/>
      <c r="N126" s="105"/>
      <c r="O126" s="108"/>
      <c r="P126" s="108"/>
      <c r="Q126" s="105"/>
      <c r="R126" s="105"/>
    </row>
    <row r="127" spans="1:18" ht="18.75">
      <c r="A127" s="3" t="s">
        <v>119</v>
      </c>
      <c r="B127" s="88"/>
      <c r="C127" s="105"/>
      <c r="D127" s="105"/>
      <c r="E127" s="105"/>
      <c r="F127" s="105"/>
      <c r="G127" s="105"/>
      <c r="H127" s="108"/>
      <c r="I127" s="105"/>
      <c r="J127" s="108"/>
      <c r="K127" s="108"/>
      <c r="L127" s="105"/>
      <c r="M127" s="108"/>
      <c r="N127" s="105"/>
      <c r="O127" s="108"/>
      <c r="P127" s="108"/>
      <c r="Q127" s="105"/>
      <c r="R127" s="105"/>
    </row>
    <row r="128" spans="1:18" ht="18.75">
      <c r="A128" s="3" t="s">
        <v>119</v>
      </c>
      <c r="B128" s="88"/>
      <c r="C128" s="105"/>
      <c r="D128" s="105"/>
      <c r="E128" s="105"/>
      <c r="F128" s="105"/>
      <c r="G128" s="105"/>
      <c r="H128" s="108"/>
      <c r="I128" s="105"/>
      <c r="J128" s="108"/>
      <c r="K128" s="108"/>
      <c r="L128" s="105"/>
      <c r="M128" s="108"/>
      <c r="N128" s="105"/>
      <c r="O128" s="108"/>
      <c r="P128" s="108"/>
      <c r="Q128" s="105"/>
      <c r="R128" s="105"/>
    </row>
    <row r="129" spans="1:18" ht="18.75">
      <c r="A129" s="3" t="s">
        <v>119</v>
      </c>
      <c r="B129" s="88"/>
      <c r="C129" s="105"/>
      <c r="D129" s="105"/>
      <c r="E129" s="105"/>
      <c r="F129" s="105"/>
      <c r="G129" s="105"/>
      <c r="H129" s="108"/>
      <c r="I129" s="105"/>
      <c r="J129" s="108"/>
      <c r="K129" s="108"/>
      <c r="L129" s="105"/>
      <c r="M129" s="108"/>
      <c r="N129" s="105"/>
      <c r="O129" s="108"/>
      <c r="P129" s="108"/>
      <c r="Q129" s="105"/>
      <c r="R129" s="105"/>
    </row>
    <row r="130" spans="1:18" ht="18.75">
      <c r="A130" s="3" t="s">
        <v>119</v>
      </c>
      <c r="B130" s="88"/>
      <c r="C130" s="105"/>
      <c r="D130" s="105"/>
      <c r="E130" s="105"/>
      <c r="F130" s="105"/>
      <c r="G130" s="105"/>
      <c r="H130" s="108"/>
      <c r="I130" s="105"/>
      <c r="J130" s="108"/>
      <c r="K130" s="108"/>
      <c r="L130" s="105"/>
      <c r="M130" s="108"/>
      <c r="N130" s="105"/>
      <c r="O130" s="108"/>
      <c r="P130" s="108"/>
      <c r="Q130" s="105"/>
      <c r="R130" s="105"/>
    </row>
    <row r="131" spans="1:18" ht="18.75">
      <c r="A131" s="3" t="s">
        <v>119</v>
      </c>
      <c r="B131" s="88"/>
      <c r="C131" s="105"/>
      <c r="D131" s="105"/>
      <c r="E131" s="105"/>
      <c r="F131" s="105"/>
      <c r="G131" s="105"/>
      <c r="H131" s="108"/>
      <c r="I131" s="105"/>
      <c r="J131" s="108"/>
      <c r="K131" s="108"/>
      <c r="L131" s="105"/>
      <c r="M131" s="108"/>
      <c r="N131" s="105"/>
      <c r="O131" s="108"/>
      <c r="P131" s="108"/>
      <c r="Q131" s="105"/>
      <c r="R131" s="105"/>
    </row>
    <row r="132" spans="1:18" ht="18.75">
      <c r="A132" s="3" t="s">
        <v>119</v>
      </c>
      <c r="B132" s="88"/>
      <c r="C132" s="105"/>
      <c r="D132" s="105"/>
      <c r="E132" s="105"/>
      <c r="F132" s="105"/>
      <c r="G132" s="105"/>
      <c r="H132" s="108"/>
      <c r="I132" s="105"/>
      <c r="J132" s="108"/>
      <c r="K132" s="108"/>
      <c r="L132" s="105"/>
      <c r="M132" s="108"/>
      <c r="N132" s="105"/>
      <c r="O132" s="108"/>
      <c r="P132" s="108"/>
      <c r="Q132" s="105"/>
      <c r="R132" s="105"/>
    </row>
    <row r="133" spans="1:18" ht="18.75">
      <c r="A133" s="3" t="s">
        <v>119</v>
      </c>
      <c r="B133" s="88"/>
      <c r="C133" s="105"/>
      <c r="D133" s="105"/>
      <c r="E133" s="105"/>
      <c r="F133" s="105"/>
      <c r="G133" s="105"/>
      <c r="H133" s="108"/>
      <c r="I133" s="105"/>
      <c r="J133" s="108"/>
      <c r="K133" s="108"/>
      <c r="L133" s="105"/>
      <c r="M133" s="108"/>
      <c r="N133" s="105"/>
      <c r="O133" s="108"/>
      <c r="P133" s="108"/>
      <c r="Q133" s="105"/>
      <c r="R133" s="105"/>
    </row>
    <row r="134" spans="1:18" ht="18.75">
      <c r="A134" s="3" t="s">
        <v>119</v>
      </c>
      <c r="B134" s="88"/>
      <c r="C134" s="105"/>
      <c r="D134" s="105"/>
      <c r="E134" s="105"/>
      <c r="F134" s="105"/>
      <c r="G134" s="105"/>
      <c r="H134" s="108"/>
      <c r="I134" s="105"/>
      <c r="J134" s="108"/>
      <c r="K134" s="108"/>
      <c r="L134" s="105"/>
      <c r="M134" s="108"/>
      <c r="N134" s="105"/>
      <c r="O134" s="108"/>
      <c r="P134" s="108"/>
      <c r="Q134" s="105"/>
      <c r="R134" s="105"/>
    </row>
    <row r="135" spans="1:18" ht="18.75">
      <c r="A135" s="3" t="s">
        <v>119</v>
      </c>
      <c r="B135" s="88"/>
      <c r="C135" s="105"/>
      <c r="D135" s="105"/>
      <c r="E135" s="105"/>
      <c r="F135" s="105"/>
      <c r="G135" s="105"/>
      <c r="H135" s="108"/>
      <c r="I135" s="105"/>
      <c r="J135" s="108"/>
      <c r="K135" s="108"/>
      <c r="L135" s="105"/>
      <c r="M135" s="108"/>
      <c r="N135" s="105"/>
      <c r="O135" s="108"/>
      <c r="P135" s="108"/>
      <c r="Q135" s="105"/>
      <c r="R135" s="105"/>
    </row>
    <row r="136" spans="1:18" ht="18.75">
      <c r="A136" s="3" t="s">
        <v>119</v>
      </c>
      <c r="B136" s="88"/>
      <c r="C136" s="105"/>
      <c r="D136" s="105"/>
      <c r="E136" s="105"/>
      <c r="F136" s="105"/>
      <c r="G136" s="105"/>
      <c r="H136" s="108"/>
      <c r="I136" s="105"/>
      <c r="J136" s="108"/>
      <c r="K136" s="108"/>
      <c r="L136" s="105"/>
      <c r="M136" s="108"/>
      <c r="N136" s="105"/>
      <c r="O136" s="108"/>
      <c r="P136" s="108"/>
      <c r="Q136" s="105"/>
      <c r="R136" s="105"/>
    </row>
    <row r="137" spans="1:18" ht="18.75">
      <c r="A137" s="3" t="s">
        <v>119</v>
      </c>
      <c r="B137" s="88"/>
      <c r="C137" s="105"/>
      <c r="D137" s="105"/>
      <c r="E137" s="105"/>
      <c r="F137" s="105"/>
      <c r="G137" s="105"/>
      <c r="H137" s="108"/>
      <c r="I137" s="105"/>
      <c r="J137" s="108"/>
      <c r="K137" s="108"/>
      <c r="L137" s="105"/>
      <c r="M137" s="108"/>
      <c r="N137" s="105"/>
      <c r="O137" s="108"/>
      <c r="P137" s="108"/>
      <c r="Q137" s="105"/>
      <c r="R137" s="105"/>
    </row>
    <row r="138" spans="1:18" ht="18.75">
      <c r="A138" s="3" t="s">
        <v>119</v>
      </c>
      <c r="B138" s="88"/>
      <c r="C138" s="105"/>
      <c r="D138" s="105"/>
      <c r="E138" s="105"/>
      <c r="F138" s="105"/>
      <c r="G138" s="105"/>
      <c r="H138" s="108"/>
      <c r="I138" s="105"/>
      <c r="J138" s="108"/>
      <c r="K138" s="108"/>
      <c r="L138" s="105"/>
      <c r="M138" s="108"/>
      <c r="N138" s="105"/>
      <c r="O138" s="108"/>
      <c r="P138" s="108"/>
      <c r="Q138" s="105"/>
      <c r="R138" s="105"/>
    </row>
    <row r="139" spans="1:18" ht="18.75">
      <c r="A139" s="3" t="s">
        <v>119</v>
      </c>
      <c r="B139" s="88"/>
      <c r="C139" s="105"/>
      <c r="D139" s="105"/>
      <c r="E139" s="105"/>
      <c r="F139" s="105"/>
      <c r="G139" s="105"/>
      <c r="H139" s="108"/>
      <c r="I139" s="105"/>
      <c r="J139" s="108"/>
      <c r="K139" s="108"/>
      <c r="L139" s="105"/>
      <c r="M139" s="108"/>
      <c r="N139" s="105"/>
      <c r="O139" s="108"/>
      <c r="P139" s="108"/>
      <c r="Q139" s="105"/>
      <c r="R139" s="105"/>
    </row>
    <row r="140" spans="1:18" ht="18.75">
      <c r="A140" s="3" t="s">
        <v>119</v>
      </c>
      <c r="B140" s="88"/>
      <c r="C140" s="105"/>
      <c r="D140" s="105"/>
      <c r="E140" s="105"/>
      <c r="F140" s="105"/>
      <c r="G140" s="105"/>
      <c r="H140" s="108"/>
      <c r="I140" s="105"/>
      <c r="J140" s="108"/>
      <c r="K140" s="108"/>
      <c r="L140" s="105"/>
      <c r="M140" s="108"/>
      <c r="N140" s="105"/>
      <c r="O140" s="108"/>
      <c r="P140" s="108"/>
      <c r="Q140" s="105"/>
      <c r="R140" s="105"/>
    </row>
    <row r="141" spans="1:18" ht="18.75">
      <c r="A141" s="3" t="s">
        <v>119</v>
      </c>
      <c r="B141" s="88"/>
      <c r="C141" s="105"/>
      <c r="D141" s="105"/>
      <c r="E141" s="105"/>
      <c r="F141" s="105"/>
      <c r="G141" s="105"/>
      <c r="H141" s="108"/>
      <c r="I141" s="105"/>
      <c r="J141" s="108"/>
      <c r="K141" s="108"/>
      <c r="L141" s="105"/>
      <c r="M141" s="108"/>
      <c r="N141" s="105"/>
      <c r="O141" s="108"/>
      <c r="P141" s="108"/>
      <c r="Q141" s="105"/>
      <c r="R141" s="105"/>
    </row>
    <row r="142" spans="1:18" ht="18.75">
      <c r="A142" s="3" t="s">
        <v>119</v>
      </c>
      <c r="B142" s="88"/>
      <c r="C142" s="105"/>
      <c r="D142" s="105"/>
      <c r="E142" s="105"/>
      <c r="F142" s="105"/>
      <c r="G142" s="105"/>
      <c r="H142" s="108"/>
      <c r="I142" s="105"/>
      <c r="J142" s="108"/>
      <c r="K142" s="108"/>
      <c r="L142" s="105"/>
      <c r="M142" s="108"/>
      <c r="N142" s="105"/>
      <c r="O142" s="108"/>
      <c r="P142" s="108"/>
      <c r="Q142" s="105"/>
      <c r="R142" s="105"/>
    </row>
    <row r="143" spans="1:18" ht="18.75">
      <c r="A143" s="3" t="s">
        <v>119</v>
      </c>
      <c r="B143" s="88"/>
      <c r="C143" s="105"/>
      <c r="D143" s="105"/>
      <c r="E143" s="105"/>
      <c r="F143" s="105"/>
      <c r="G143" s="105"/>
      <c r="H143" s="108"/>
      <c r="I143" s="105"/>
      <c r="J143" s="108"/>
      <c r="K143" s="108"/>
      <c r="L143" s="105"/>
      <c r="M143" s="108"/>
      <c r="N143" s="105"/>
      <c r="O143" s="108"/>
      <c r="P143" s="108"/>
      <c r="Q143" s="105"/>
      <c r="R143" s="105"/>
    </row>
    <row r="144" spans="1:18" ht="18.75">
      <c r="A144" s="3" t="s">
        <v>119</v>
      </c>
      <c r="B144" s="88"/>
      <c r="C144" s="105"/>
      <c r="D144" s="105"/>
      <c r="E144" s="105"/>
      <c r="F144" s="105"/>
      <c r="G144" s="105"/>
      <c r="H144" s="108"/>
      <c r="I144" s="105"/>
      <c r="J144" s="108"/>
      <c r="K144" s="108"/>
      <c r="L144" s="105"/>
      <c r="M144" s="108"/>
      <c r="N144" s="105"/>
      <c r="O144" s="108"/>
      <c r="P144" s="108"/>
      <c r="Q144" s="105"/>
      <c r="R144" s="105"/>
    </row>
    <row r="145" spans="1:18" ht="18.75">
      <c r="A145" s="3" t="s">
        <v>119</v>
      </c>
      <c r="B145" s="88"/>
      <c r="C145" s="105"/>
      <c r="D145" s="105"/>
      <c r="E145" s="105"/>
      <c r="F145" s="105"/>
      <c r="G145" s="105"/>
      <c r="H145" s="108"/>
      <c r="I145" s="105"/>
      <c r="J145" s="108"/>
      <c r="K145" s="108"/>
      <c r="L145" s="105"/>
      <c r="M145" s="108"/>
      <c r="N145" s="105"/>
      <c r="O145" s="108"/>
      <c r="P145" s="108"/>
      <c r="Q145" s="105"/>
      <c r="R145" s="105"/>
    </row>
    <row r="146" spans="1:18" ht="18.75">
      <c r="A146" s="3" t="s">
        <v>119</v>
      </c>
      <c r="B146" s="88"/>
      <c r="C146" s="105"/>
      <c r="D146" s="105"/>
      <c r="E146" s="105"/>
      <c r="F146" s="105"/>
      <c r="G146" s="105"/>
      <c r="H146" s="108"/>
      <c r="I146" s="105"/>
      <c r="J146" s="108"/>
      <c r="K146" s="108"/>
      <c r="L146" s="105"/>
      <c r="M146" s="108"/>
      <c r="N146" s="105"/>
      <c r="O146" s="108"/>
      <c r="P146" s="108"/>
      <c r="Q146" s="105"/>
      <c r="R146" s="105"/>
    </row>
    <row r="147" spans="1:18" ht="18.75">
      <c r="A147" s="3" t="s">
        <v>119</v>
      </c>
      <c r="B147" s="88"/>
      <c r="C147" s="105"/>
      <c r="D147" s="105"/>
      <c r="E147" s="105"/>
      <c r="F147" s="105"/>
      <c r="G147" s="105"/>
      <c r="H147" s="108"/>
      <c r="I147" s="105"/>
      <c r="J147" s="108"/>
      <c r="K147" s="108"/>
      <c r="L147" s="105"/>
      <c r="M147" s="108"/>
      <c r="N147" s="105"/>
      <c r="O147" s="108"/>
      <c r="P147" s="108"/>
      <c r="Q147" s="105"/>
      <c r="R147" s="105"/>
    </row>
    <row r="148" spans="1:18" ht="18.75">
      <c r="A148" s="3" t="s">
        <v>119</v>
      </c>
      <c r="B148" s="88"/>
      <c r="C148" s="105"/>
      <c r="D148" s="105"/>
      <c r="E148" s="105"/>
      <c r="F148" s="105"/>
      <c r="G148" s="105"/>
      <c r="H148" s="108"/>
      <c r="I148" s="105"/>
      <c r="J148" s="108"/>
      <c r="K148" s="108"/>
      <c r="L148" s="105"/>
      <c r="M148" s="108"/>
      <c r="N148" s="105"/>
      <c r="O148" s="108"/>
      <c r="P148" s="108"/>
      <c r="Q148" s="105"/>
      <c r="R148" s="105"/>
    </row>
    <row r="149" spans="1:18" ht="18.75">
      <c r="A149" s="3" t="s">
        <v>119</v>
      </c>
      <c r="B149" s="88"/>
      <c r="C149" s="105"/>
      <c r="D149" s="105"/>
      <c r="E149" s="105"/>
      <c r="F149" s="105"/>
      <c r="G149" s="105"/>
      <c r="H149" s="108"/>
      <c r="I149" s="105"/>
      <c r="J149" s="108"/>
      <c r="K149" s="108"/>
      <c r="L149" s="105"/>
      <c r="M149" s="108"/>
      <c r="N149" s="105"/>
      <c r="O149" s="108"/>
      <c r="P149" s="108"/>
      <c r="Q149" s="105"/>
      <c r="R149" s="105"/>
    </row>
    <row r="150" spans="1:18" ht="18.75">
      <c r="A150" s="3" t="s">
        <v>119</v>
      </c>
      <c r="B150" s="88"/>
      <c r="C150" s="105"/>
      <c r="D150" s="105"/>
      <c r="E150" s="105"/>
      <c r="F150" s="105"/>
      <c r="G150" s="105"/>
      <c r="H150" s="108"/>
      <c r="I150" s="105"/>
      <c r="J150" s="108"/>
      <c r="K150" s="108"/>
      <c r="L150" s="105"/>
      <c r="M150" s="108"/>
      <c r="N150" s="105"/>
      <c r="O150" s="108"/>
      <c r="P150" s="108"/>
      <c r="Q150" s="105"/>
      <c r="R150" s="105"/>
    </row>
    <row r="151" spans="1:18" ht="18.75">
      <c r="A151" s="3" t="s">
        <v>119</v>
      </c>
      <c r="B151" s="88"/>
      <c r="C151" s="105"/>
      <c r="D151" s="105"/>
      <c r="E151" s="105"/>
      <c r="F151" s="105"/>
      <c r="G151" s="105"/>
      <c r="H151" s="108"/>
      <c r="I151" s="105"/>
      <c r="J151" s="108"/>
      <c r="K151" s="108"/>
      <c r="L151" s="105"/>
      <c r="M151" s="108"/>
      <c r="N151" s="105"/>
      <c r="O151" s="108"/>
      <c r="P151" s="108"/>
      <c r="Q151" s="105"/>
      <c r="R151" s="105"/>
    </row>
    <row r="152" spans="1:18" ht="18.75">
      <c r="A152" s="3" t="s">
        <v>119</v>
      </c>
      <c r="B152" s="88"/>
      <c r="C152" s="105"/>
      <c r="D152" s="105"/>
      <c r="E152" s="105"/>
      <c r="F152" s="105"/>
      <c r="G152" s="105"/>
      <c r="H152" s="108"/>
      <c r="I152" s="105"/>
      <c r="J152" s="108"/>
      <c r="K152" s="108"/>
      <c r="L152" s="105"/>
      <c r="M152" s="108"/>
      <c r="N152" s="105"/>
      <c r="O152" s="108"/>
      <c r="P152" s="108"/>
      <c r="Q152" s="105"/>
      <c r="R152" s="105"/>
    </row>
    <row r="153" spans="1:18" ht="18.75">
      <c r="A153" s="3" t="s">
        <v>119</v>
      </c>
      <c r="B153" s="88"/>
      <c r="C153" s="105"/>
      <c r="D153" s="105"/>
      <c r="E153" s="105"/>
      <c r="F153" s="105"/>
      <c r="G153" s="105"/>
      <c r="H153" s="108"/>
      <c r="I153" s="105"/>
      <c r="J153" s="108"/>
      <c r="K153" s="108"/>
      <c r="L153" s="105"/>
      <c r="M153" s="108"/>
      <c r="N153" s="105"/>
      <c r="O153" s="108"/>
      <c r="P153" s="108"/>
      <c r="Q153" s="105"/>
      <c r="R153" s="105"/>
    </row>
    <row r="154" spans="1:18" ht="18.75">
      <c r="A154" s="3" t="s">
        <v>119</v>
      </c>
      <c r="B154" s="88"/>
      <c r="C154" s="105"/>
      <c r="D154" s="105"/>
      <c r="E154" s="105"/>
      <c r="F154" s="105"/>
      <c r="G154" s="105"/>
      <c r="H154" s="108"/>
      <c r="I154" s="105"/>
      <c r="J154" s="108"/>
      <c r="K154" s="108"/>
      <c r="L154" s="105"/>
      <c r="M154" s="108"/>
      <c r="N154" s="105"/>
      <c r="O154" s="108"/>
      <c r="P154" s="108"/>
      <c r="Q154" s="105"/>
      <c r="R154" s="105"/>
    </row>
    <row r="155" spans="1:18" ht="18.75">
      <c r="A155" s="3" t="s">
        <v>119</v>
      </c>
      <c r="B155" s="88"/>
      <c r="C155" s="105"/>
      <c r="D155" s="105"/>
      <c r="E155" s="105"/>
      <c r="F155" s="105"/>
      <c r="G155" s="105"/>
      <c r="H155" s="108"/>
      <c r="I155" s="105"/>
      <c r="J155" s="108"/>
      <c r="K155" s="108"/>
      <c r="L155" s="105"/>
      <c r="M155" s="108"/>
      <c r="N155" s="105"/>
      <c r="O155" s="108"/>
      <c r="P155" s="108"/>
      <c r="Q155" s="105"/>
      <c r="R155" s="105"/>
    </row>
    <row r="156" spans="1:18" ht="18.75">
      <c r="A156" s="3" t="s">
        <v>119</v>
      </c>
      <c r="B156" s="88"/>
      <c r="C156" s="105"/>
      <c r="D156" s="105"/>
      <c r="E156" s="105"/>
      <c r="F156" s="105"/>
      <c r="G156" s="105"/>
      <c r="H156" s="108"/>
      <c r="I156" s="105"/>
      <c r="J156" s="108"/>
      <c r="K156" s="108"/>
      <c r="L156" s="105"/>
      <c r="M156" s="108"/>
      <c r="N156" s="105"/>
      <c r="O156" s="108"/>
      <c r="P156" s="108"/>
      <c r="Q156" s="105"/>
      <c r="R156" s="105"/>
    </row>
    <row r="157" spans="1:18" ht="18.75">
      <c r="A157" s="3" t="s">
        <v>119</v>
      </c>
      <c r="B157" s="88"/>
      <c r="C157" s="105"/>
      <c r="D157" s="105"/>
      <c r="E157" s="105"/>
      <c r="F157" s="105"/>
      <c r="G157" s="105"/>
      <c r="H157" s="108"/>
      <c r="I157" s="105"/>
      <c r="J157" s="108"/>
      <c r="K157" s="108"/>
      <c r="L157" s="105"/>
      <c r="M157" s="108"/>
      <c r="N157" s="105"/>
      <c r="O157" s="108"/>
      <c r="P157" s="108"/>
      <c r="Q157" s="105"/>
      <c r="R157" s="105"/>
    </row>
    <row r="158" spans="1:18" ht="18.75">
      <c r="A158" s="3" t="s">
        <v>119</v>
      </c>
      <c r="B158" s="88"/>
      <c r="C158" s="105"/>
      <c r="D158" s="105"/>
      <c r="E158" s="105"/>
      <c r="F158" s="105"/>
      <c r="G158" s="105"/>
      <c r="H158" s="108"/>
      <c r="I158" s="105"/>
      <c r="J158" s="108"/>
      <c r="K158" s="108"/>
      <c r="L158" s="105"/>
      <c r="M158" s="108"/>
      <c r="N158" s="105"/>
      <c r="O158" s="108"/>
      <c r="P158" s="108"/>
      <c r="Q158" s="105"/>
      <c r="R158" s="105"/>
    </row>
    <row r="159" spans="1:18" ht="18.75">
      <c r="A159" s="3" t="s">
        <v>119</v>
      </c>
      <c r="B159" s="88"/>
      <c r="C159" s="105"/>
      <c r="D159" s="105"/>
      <c r="E159" s="105"/>
      <c r="F159" s="105"/>
      <c r="G159" s="105"/>
      <c r="H159" s="108"/>
      <c r="I159" s="105"/>
      <c r="J159" s="108"/>
      <c r="K159" s="108"/>
      <c r="L159" s="105"/>
      <c r="M159" s="108"/>
      <c r="N159" s="105"/>
      <c r="O159" s="108"/>
      <c r="P159" s="108"/>
      <c r="Q159" s="105"/>
      <c r="R159" s="105"/>
    </row>
    <row r="160" spans="1:18" ht="18.75">
      <c r="A160" s="3" t="s">
        <v>119</v>
      </c>
      <c r="B160" s="88"/>
      <c r="C160" s="105"/>
      <c r="D160" s="105"/>
      <c r="E160" s="105"/>
      <c r="F160" s="105"/>
      <c r="G160" s="105"/>
      <c r="H160" s="108"/>
      <c r="I160" s="105"/>
      <c r="J160" s="108"/>
      <c r="K160" s="108"/>
      <c r="L160" s="105"/>
      <c r="M160" s="108"/>
      <c r="N160" s="105"/>
      <c r="O160" s="108"/>
      <c r="P160" s="108"/>
      <c r="Q160" s="105"/>
      <c r="R160" s="105"/>
    </row>
    <row r="161" spans="1:18" ht="18.75">
      <c r="A161" s="3" t="s">
        <v>119</v>
      </c>
      <c r="B161" s="88"/>
      <c r="C161" s="105"/>
      <c r="D161" s="105"/>
      <c r="E161" s="105"/>
      <c r="F161" s="105"/>
      <c r="G161" s="105"/>
      <c r="H161" s="108"/>
      <c r="I161" s="105"/>
      <c r="J161" s="108"/>
      <c r="K161" s="108"/>
      <c r="L161" s="105"/>
      <c r="M161" s="108"/>
      <c r="N161" s="105"/>
      <c r="O161" s="108"/>
      <c r="P161" s="108"/>
      <c r="Q161" s="105"/>
      <c r="R161" s="105"/>
    </row>
    <row r="162" spans="1:18" ht="18.75">
      <c r="A162" s="3" t="s">
        <v>119</v>
      </c>
      <c r="B162" s="88"/>
      <c r="C162" s="105"/>
      <c r="D162" s="105"/>
      <c r="E162" s="105"/>
      <c r="F162" s="105"/>
      <c r="G162" s="105"/>
      <c r="H162" s="108"/>
      <c r="I162" s="105"/>
      <c r="J162" s="108"/>
      <c r="K162" s="108"/>
      <c r="L162" s="105"/>
      <c r="M162" s="108"/>
      <c r="N162" s="105"/>
      <c r="O162" s="108"/>
      <c r="P162" s="108"/>
      <c r="Q162" s="105"/>
      <c r="R162" s="105"/>
    </row>
    <row r="163" spans="1:18" ht="18.75">
      <c r="A163" s="3" t="s">
        <v>119</v>
      </c>
      <c r="B163" s="88"/>
      <c r="C163" s="105"/>
      <c r="D163" s="105"/>
      <c r="E163" s="105"/>
      <c r="F163" s="105"/>
      <c r="G163" s="105"/>
      <c r="H163" s="108"/>
      <c r="I163" s="105"/>
      <c r="J163" s="108"/>
      <c r="K163" s="108"/>
      <c r="L163" s="105"/>
      <c r="M163" s="108"/>
      <c r="N163" s="105"/>
      <c r="O163" s="108"/>
      <c r="P163" s="108"/>
      <c r="Q163" s="105"/>
      <c r="R163" s="105"/>
    </row>
    <row r="164" spans="1:18" ht="18.75">
      <c r="A164" s="3" t="s">
        <v>119</v>
      </c>
      <c r="B164" s="88"/>
      <c r="C164" s="105"/>
      <c r="D164" s="105"/>
      <c r="E164" s="105"/>
      <c r="F164" s="105"/>
      <c r="G164" s="105"/>
      <c r="H164" s="108"/>
      <c r="I164" s="105"/>
      <c r="J164" s="108"/>
      <c r="K164" s="108"/>
      <c r="L164" s="105"/>
      <c r="M164" s="108"/>
      <c r="N164" s="105"/>
      <c r="O164" s="108"/>
      <c r="P164" s="108"/>
      <c r="Q164" s="105"/>
      <c r="R164" s="105"/>
    </row>
    <row r="165" spans="1:18" ht="18.75">
      <c r="A165" s="3" t="s">
        <v>119</v>
      </c>
      <c r="B165" s="88"/>
      <c r="C165" s="105"/>
      <c r="D165" s="105"/>
      <c r="E165" s="105"/>
      <c r="F165" s="105"/>
      <c r="G165" s="105"/>
      <c r="H165" s="108"/>
      <c r="I165" s="105"/>
      <c r="J165" s="108"/>
      <c r="K165" s="108"/>
      <c r="L165" s="105"/>
      <c r="M165" s="108"/>
      <c r="N165" s="105"/>
      <c r="O165" s="108"/>
      <c r="P165" s="108"/>
      <c r="Q165" s="105"/>
      <c r="R165" s="105"/>
    </row>
    <row r="166" spans="1:18" ht="18.75">
      <c r="A166" s="3" t="s">
        <v>119</v>
      </c>
      <c r="B166" s="88"/>
      <c r="C166" s="105"/>
      <c r="D166" s="105"/>
      <c r="E166" s="105"/>
      <c r="F166" s="105"/>
      <c r="G166" s="105"/>
      <c r="H166" s="108"/>
      <c r="I166" s="105"/>
      <c r="J166" s="108"/>
      <c r="K166" s="108"/>
      <c r="L166" s="105"/>
      <c r="M166" s="108"/>
      <c r="N166" s="105"/>
      <c r="O166" s="108"/>
      <c r="P166" s="108"/>
      <c r="Q166" s="105"/>
      <c r="R166" s="105"/>
    </row>
    <row r="167" spans="1:18" ht="18.75">
      <c r="A167" s="3" t="s">
        <v>119</v>
      </c>
      <c r="B167" s="88"/>
      <c r="C167" s="105"/>
      <c r="D167" s="105"/>
      <c r="E167" s="105"/>
      <c r="F167" s="105"/>
      <c r="G167" s="105"/>
      <c r="H167" s="108"/>
      <c r="I167" s="105"/>
      <c r="J167" s="108"/>
      <c r="K167" s="108"/>
      <c r="L167" s="105"/>
      <c r="M167" s="108"/>
      <c r="N167" s="105"/>
      <c r="O167" s="108"/>
      <c r="P167" s="108"/>
      <c r="Q167" s="105"/>
      <c r="R167" s="105"/>
    </row>
    <row r="168" spans="1:18" ht="18.75">
      <c r="A168" s="3" t="s">
        <v>119</v>
      </c>
      <c r="B168" s="88"/>
      <c r="C168" s="105"/>
      <c r="D168" s="105"/>
      <c r="E168" s="105"/>
      <c r="F168" s="105"/>
      <c r="G168" s="105"/>
      <c r="H168" s="108"/>
      <c r="I168" s="105"/>
      <c r="J168" s="108"/>
      <c r="K168" s="108"/>
      <c r="L168" s="105"/>
      <c r="M168" s="108"/>
      <c r="N168" s="105"/>
      <c r="O168" s="108"/>
      <c r="P168" s="108"/>
      <c r="Q168" s="105"/>
      <c r="R168" s="105"/>
    </row>
    <row r="169" spans="1:18" ht="18.75">
      <c r="A169" s="3" t="s">
        <v>119</v>
      </c>
      <c r="B169" s="88"/>
      <c r="C169" s="105"/>
      <c r="D169" s="105"/>
      <c r="E169" s="105"/>
      <c r="F169" s="105"/>
      <c r="G169" s="105"/>
      <c r="H169" s="108"/>
      <c r="I169" s="105"/>
      <c r="J169" s="108"/>
      <c r="K169" s="108"/>
      <c r="L169" s="105"/>
      <c r="M169" s="108"/>
      <c r="N169" s="105"/>
      <c r="O169" s="108"/>
      <c r="P169" s="108"/>
      <c r="Q169" s="105"/>
      <c r="R169" s="105"/>
    </row>
    <row r="170" spans="1:18" ht="18.75">
      <c r="A170" s="3" t="s">
        <v>119</v>
      </c>
      <c r="B170" s="88"/>
      <c r="C170" s="105"/>
      <c r="D170" s="105"/>
      <c r="E170" s="105"/>
      <c r="F170" s="105"/>
      <c r="G170" s="105"/>
      <c r="H170" s="108"/>
      <c r="I170" s="105"/>
      <c r="J170" s="108"/>
      <c r="K170" s="108"/>
      <c r="L170" s="105"/>
      <c r="M170" s="108"/>
      <c r="N170" s="105"/>
      <c r="O170" s="108"/>
      <c r="P170" s="108"/>
      <c r="Q170" s="105"/>
      <c r="R170" s="105"/>
    </row>
    <row r="171" spans="1:18" ht="18.75">
      <c r="A171" s="3" t="s">
        <v>119</v>
      </c>
      <c r="B171" s="88"/>
      <c r="C171" s="105"/>
      <c r="D171" s="105"/>
      <c r="E171" s="105"/>
      <c r="F171" s="105"/>
      <c r="G171" s="105"/>
      <c r="H171" s="108"/>
      <c r="I171" s="105"/>
      <c r="J171" s="108"/>
      <c r="K171" s="108"/>
      <c r="L171" s="105"/>
      <c r="M171" s="108"/>
      <c r="N171" s="105"/>
      <c r="O171" s="108"/>
      <c r="P171" s="108"/>
      <c r="Q171" s="105"/>
      <c r="R171" s="105"/>
    </row>
    <row r="172" spans="1:18" ht="18.75">
      <c r="A172" s="3" t="s">
        <v>119</v>
      </c>
      <c r="B172" s="88"/>
      <c r="C172" s="105"/>
      <c r="D172" s="105"/>
      <c r="E172" s="105"/>
      <c r="F172" s="105"/>
      <c r="G172" s="105"/>
      <c r="H172" s="108"/>
      <c r="I172" s="105"/>
      <c r="J172" s="108"/>
      <c r="K172" s="108"/>
      <c r="L172" s="105"/>
      <c r="M172" s="108"/>
      <c r="N172" s="105"/>
      <c r="O172" s="108"/>
      <c r="P172" s="108"/>
      <c r="Q172" s="105"/>
      <c r="R172" s="105"/>
    </row>
    <row r="173" spans="1:18" ht="18.75">
      <c r="A173" s="3" t="s">
        <v>119</v>
      </c>
      <c r="B173" s="88"/>
      <c r="C173" s="105"/>
      <c r="D173" s="105"/>
      <c r="E173" s="105"/>
      <c r="F173" s="105"/>
      <c r="G173" s="105"/>
      <c r="H173" s="108"/>
      <c r="I173" s="105"/>
      <c r="J173" s="108"/>
      <c r="K173" s="108"/>
      <c r="L173" s="105"/>
      <c r="M173" s="108"/>
      <c r="N173" s="105"/>
      <c r="O173" s="108"/>
      <c r="P173" s="108"/>
      <c r="Q173" s="105"/>
      <c r="R173" s="105"/>
    </row>
    <row r="174" spans="1:18" ht="18.75">
      <c r="A174" s="3" t="s">
        <v>119</v>
      </c>
      <c r="B174" s="88"/>
      <c r="C174" s="105"/>
      <c r="D174" s="105"/>
      <c r="E174" s="105"/>
      <c r="F174" s="105"/>
      <c r="G174" s="105"/>
      <c r="H174" s="108"/>
      <c r="I174" s="105"/>
      <c r="J174" s="108"/>
      <c r="K174" s="108"/>
      <c r="L174" s="105"/>
      <c r="M174" s="108"/>
      <c r="N174" s="105"/>
      <c r="O174" s="108"/>
      <c r="P174" s="108"/>
      <c r="Q174" s="105"/>
      <c r="R174" s="105"/>
    </row>
    <row r="175" spans="1:18" ht="18.75">
      <c r="A175" s="3" t="s">
        <v>119</v>
      </c>
      <c r="B175" s="88"/>
      <c r="C175" s="105"/>
      <c r="D175" s="105"/>
      <c r="E175" s="105"/>
      <c r="F175" s="105"/>
      <c r="G175" s="105"/>
      <c r="H175" s="108"/>
      <c r="I175" s="105"/>
      <c r="J175" s="108"/>
      <c r="K175" s="108"/>
      <c r="L175" s="105"/>
      <c r="M175" s="108"/>
      <c r="N175" s="105"/>
      <c r="O175" s="108"/>
      <c r="P175" s="108"/>
      <c r="Q175" s="105"/>
      <c r="R175" s="105"/>
    </row>
    <row r="176" spans="1:18" ht="18.75">
      <c r="A176" s="3" t="s">
        <v>119</v>
      </c>
      <c r="B176" s="88"/>
      <c r="C176" s="105"/>
      <c r="D176" s="105"/>
      <c r="E176" s="105"/>
      <c r="F176" s="105"/>
      <c r="G176" s="105"/>
      <c r="H176" s="108"/>
      <c r="I176" s="105"/>
      <c r="J176" s="108"/>
      <c r="K176" s="108"/>
      <c r="L176" s="105"/>
      <c r="M176" s="108"/>
      <c r="N176" s="105"/>
      <c r="O176" s="108"/>
      <c r="P176" s="108"/>
      <c r="Q176" s="105"/>
      <c r="R176" s="105"/>
    </row>
    <row r="177" spans="1:18" ht="18.75">
      <c r="A177" s="3" t="s">
        <v>119</v>
      </c>
      <c r="B177" s="88"/>
      <c r="C177" s="105"/>
      <c r="D177" s="105"/>
      <c r="E177" s="105"/>
      <c r="F177" s="105"/>
      <c r="G177" s="105"/>
      <c r="H177" s="108"/>
      <c r="I177" s="105"/>
      <c r="J177" s="108"/>
      <c r="K177" s="108"/>
      <c r="L177" s="105"/>
      <c r="M177" s="108"/>
      <c r="N177" s="105"/>
      <c r="O177" s="108"/>
      <c r="P177" s="108"/>
      <c r="Q177" s="105"/>
      <c r="R177" s="105"/>
    </row>
    <row r="178" spans="1:18" ht="18.75">
      <c r="A178" s="3" t="s">
        <v>119</v>
      </c>
      <c r="B178" s="88"/>
      <c r="C178" s="105"/>
      <c r="D178" s="105"/>
      <c r="E178" s="105"/>
      <c r="F178" s="105"/>
      <c r="G178" s="105"/>
      <c r="H178" s="108"/>
      <c r="I178" s="105"/>
      <c r="J178" s="108"/>
      <c r="K178" s="108"/>
      <c r="L178" s="105"/>
      <c r="M178" s="108"/>
      <c r="N178" s="105"/>
      <c r="O178" s="108"/>
      <c r="P178" s="108"/>
      <c r="Q178" s="105"/>
      <c r="R178" s="105"/>
    </row>
    <row r="179" spans="1:18" ht="18.75">
      <c r="A179" s="3" t="s">
        <v>119</v>
      </c>
      <c r="B179" s="88"/>
      <c r="C179" s="105"/>
      <c r="D179" s="105"/>
      <c r="E179" s="105"/>
      <c r="F179" s="105"/>
      <c r="G179" s="105"/>
      <c r="H179" s="108"/>
      <c r="I179" s="105"/>
      <c r="J179" s="108"/>
      <c r="K179" s="108"/>
      <c r="L179" s="105"/>
      <c r="M179" s="108"/>
      <c r="N179" s="105"/>
      <c r="O179" s="108"/>
      <c r="P179" s="108"/>
      <c r="Q179" s="105"/>
      <c r="R179" s="105"/>
    </row>
    <row r="180" spans="1:18" ht="18.75">
      <c r="A180" s="3" t="s">
        <v>119</v>
      </c>
      <c r="B180" s="88"/>
      <c r="C180" s="105"/>
      <c r="D180" s="105"/>
      <c r="E180" s="105"/>
      <c r="F180" s="105"/>
      <c r="G180" s="105"/>
      <c r="H180" s="108"/>
      <c r="I180" s="105"/>
      <c r="J180" s="108"/>
      <c r="K180" s="108"/>
      <c r="L180" s="105"/>
      <c r="M180" s="108"/>
      <c r="N180" s="105"/>
      <c r="O180" s="108"/>
      <c r="P180" s="108"/>
      <c r="Q180" s="105"/>
      <c r="R180" s="105"/>
    </row>
    <row r="181" spans="1:18" ht="18.75">
      <c r="A181" s="3" t="s">
        <v>119</v>
      </c>
      <c r="B181" s="88"/>
      <c r="C181" s="105"/>
      <c r="D181" s="105"/>
      <c r="E181" s="105"/>
      <c r="F181" s="105"/>
      <c r="G181" s="105"/>
      <c r="H181" s="108"/>
      <c r="I181" s="105"/>
      <c r="J181" s="108"/>
      <c r="K181" s="108"/>
      <c r="L181" s="105"/>
      <c r="M181" s="108"/>
      <c r="N181" s="105"/>
      <c r="O181" s="108"/>
      <c r="P181" s="108"/>
      <c r="Q181" s="105"/>
      <c r="R181" s="105"/>
    </row>
    <row r="182" spans="1:18" ht="18.75">
      <c r="A182" s="3" t="s">
        <v>119</v>
      </c>
      <c r="B182" s="88"/>
      <c r="C182" s="105"/>
      <c r="D182" s="105"/>
      <c r="E182" s="105"/>
      <c r="F182" s="105"/>
      <c r="G182" s="105"/>
      <c r="H182" s="108"/>
      <c r="I182" s="105"/>
      <c r="J182" s="108"/>
      <c r="K182" s="108"/>
      <c r="L182" s="105"/>
      <c r="M182" s="108"/>
      <c r="N182" s="105"/>
      <c r="O182" s="108"/>
      <c r="P182" s="108"/>
      <c r="Q182" s="105"/>
      <c r="R182" s="105"/>
    </row>
    <row r="183" spans="1:18" ht="18.75">
      <c r="A183" s="3" t="s">
        <v>119</v>
      </c>
      <c r="B183" s="88"/>
      <c r="C183" s="105"/>
      <c r="D183" s="105"/>
      <c r="E183" s="105"/>
      <c r="F183" s="105"/>
      <c r="G183" s="105"/>
      <c r="H183" s="108"/>
      <c r="I183" s="105"/>
      <c r="J183" s="108"/>
      <c r="K183" s="108"/>
      <c r="L183" s="105"/>
      <c r="M183" s="108"/>
      <c r="N183" s="105"/>
      <c r="O183" s="108"/>
      <c r="P183" s="108"/>
      <c r="Q183" s="105"/>
      <c r="R183" s="105"/>
    </row>
    <row r="184" spans="1:18" ht="18.75">
      <c r="A184" s="3" t="s">
        <v>119</v>
      </c>
      <c r="B184" s="88"/>
      <c r="C184" s="105"/>
      <c r="D184" s="105"/>
      <c r="E184" s="105"/>
      <c r="F184" s="105"/>
      <c r="G184" s="105"/>
      <c r="H184" s="108"/>
      <c r="I184" s="105"/>
      <c r="J184" s="108"/>
      <c r="K184" s="108"/>
      <c r="L184" s="105"/>
      <c r="M184" s="108"/>
      <c r="N184" s="105"/>
      <c r="O184" s="108"/>
      <c r="P184" s="108"/>
      <c r="Q184" s="105"/>
      <c r="R184" s="105"/>
    </row>
    <row r="185" spans="1:18" ht="18.75">
      <c r="A185" s="3" t="s">
        <v>119</v>
      </c>
      <c r="B185" s="88"/>
      <c r="C185" s="105"/>
      <c r="D185" s="105"/>
      <c r="E185" s="105"/>
      <c r="F185" s="105"/>
      <c r="G185" s="105"/>
      <c r="H185" s="108"/>
      <c r="I185" s="105"/>
      <c r="J185" s="108"/>
      <c r="K185" s="108"/>
      <c r="L185" s="105"/>
      <c r="M185" s="108"/>
      <c r="N185" s="105"/>
      <c r="O185" s="108"/>
      <c r="P185" s="108"/>
      <c r="Q185" s="105"/>
      <c r="R185" s="105"/>
    </row>
    <row r="186" spans="1:18" ht="18.75">
      <c r="A186" s="3" t="s">
        <v>119</v>
      </c>
      <c r="B186" s="88"/>
      <c r="C186" s="105"/>
      <c r="D186" s="105"/>
      <c r="E186" s="105"/>
      <c r="F186" s="105"/>
      <c r="G186" s="105"/>
      <c r="H186" s="108"/>
      <c r="I186" s="105"/>
      <c r="J186" s="108"/>
      <c r="K186" s="108"/>
      <c r="L186" s="105"/>
      <c r="M186" s="108"/>
      <c r="N186" s="105"/>
      <c r="O186" s="108"/>
      <c r="P186" s="108"/>
      <c r="Q186" s="105"/>
      <c r="R186" s="105"/>
    </row>
    <row r="187" spans="1:18" ht="18.75">
      <c r="A187" s="3" t="s">
        <v>119</v>
      </c>
      <c r="B187" s="88"/>
      <c r="C187" s="105"/>
      <c r="D187" s="105"/>
      <c r="E187" s="105"/>
      <c r="F187" s="105"/>
      <c r="G187" s="105"/>
      <c r="H187" s="108"/>
      <c r="I187" s="105"/>
      <c r="J187" s="108"/>
      <c r="K187" s="108"/>
      <c r="L187" s="105"/>
      <c r="M187" s="108"/>
      <c r="N187" s="105"/>
      <c r="O187" s="108"/>
      <c r="P187" s="108"/>
      <c r="Q187" s="105"/>
      <c r="R187" s="105"/>
    </row>
    <row r="188" spans="1:18" ht="18.75">
      <c r="A188" s="3" t="s">
        <v>119</v>
      </c>
      <c r="B188" s="88"/>
      <c r="C188" s="105"/>
      <c r="D188" s="105"/>
      <c r="E188" s="105"/>
      <c r="F188" s="105"/>
      <c r="G188" s="105"/>
      <c r="H188" s="108"/>
      <c r="I188" s="105"/>
      <c r="J188" s="108"/>
      <c r="K188" s="108"/>
      <c r="L188" s="105"/>
      <c r="M188" s="108"/>
      <c r="N188" s="105"/>
      <c r="O188" s="108"/>
      <c r="P188" s="108"/>
      <c r="Q188" s="105"/>
      <c r="R188" s="105"/>
    </row>
    <row r="189" spans="1:18" ht="18.75">
      <c r="A189" s="3" t="s">
        <v>119</v>
      </c>
      <c r="B189" s="88"/>
      <c r="C189" s="105"/>
      <c r="D189" s="105"/>
      <c r="E189" s="105"/>
      <c r="F189" s="105"/>
      <c r="G189" s="105"/>
      <c r="H189" s="108"/>
      <c r="I189" s="105"/>
      <c r="J189" s="108"/>
      <c r="K189" s="108"/>
      <c r="L189" s="105"/>
      <c r="M189" s="108"/>
      <c r="N189" s="105"/>
      <c r="O189" s="108"/>
      <c r="P189" s="108"/>
      <c r="Q189" s="105"/>
      <c r="R189" s="105"/>
    </row>
    <row r="190" spans="1:18" ht="18.75">
      <c r="A190" s="3" t="s">
        <v>119</v>
      </c>
      <c r="B190" s="88"/>
      <c r="C190" s="105"/>
      <c r="D190" s="105"/>
      <c r="E190" s="105"/>
      <c r="F190" s="105"/>
      <c r="G190" s="105"/>
      <c r="H190" s="108"/>
      <c r="I190" s="105"/>
      <c r="J190" s="108"/>
      <c r="K190" s="108"/>
      <c r="L190" s="105"/>
      <c r="M190" s="108"/>
      <c r="N190" s="105"/>
      <c r="O190" s="108"/>
      <c r="P190" s="108"/>
      <c r="Q190" s="105"/>
      <c r="R190" s="105"/>
    </row>
    <row r="191" spans="1:18" ht="18.75">
      <c r="A191" s="3" t="s">
        <v>119</v>
      </c>
      <c r="B191" s="88"/>
      <c r="C191" s="105"/>
      <c r="D191" s="105"/>
      <c r="E191" s="105"/>
      <c r="F191" s="105"/>
      <c r="G191" s="105"/>
      <c r="H191" s="108"/>
      <c r="I191" s="105"/>
      <c r="J191" s="108"/>
      <c r="K191" s="108"/>
      <c r="L191" s="105"/>
      <c r="M191" s="108"/>
      <c r="N191" s="105"/>
      <c r="O191" s="108"/>
      <c r="P191" s="108"/>
      <c r="Q191" s="105"/>
      <c r="R191" s="105"/>
    </row>
    <row r="192" spans="1:18" ht="18.75">
      <c r="A192" s="3" t="s">
        <v>119</v>
      </c>
      <c r="B192" s="88"/>
      <c r="C192" s="105"/>
      <c r="D192" s="105"/>
      <c r="E192" s="105"/>
      <c r="F192" s="105"/>
      <c r="G192" s="105"/>
      <c r="H192" s="108"/>
      <c r="I192" s="105"/>
      <c r="J192" s="108"/>
      <c r="K192" s="108"/>
      <c r="L192" s="105"/>
      <c r="M192" s="108"/>
      <c r="N192" s="105"/>
      <c r="O192" s="108"/>
      <c r="P192" s="108"/>
      <c r="Q192" s="105"/>
      <c r="R192" s="105"/>
    </row>
    <row r="193" spans="1:18" ht="18.75">
      <c r="A193" s="3" t="s">
        <v>119</v>
      </c>
      <c r="B193" s="88"/>
      <c r="C193" s="105"/>
      <c r="D193" s="105"/>
      <c r="E193" s="105"/>
      <c r="F193" s="105"/>
      <c r="G193" s="105"/>
      <c r="H193" s="108"/>
      <c r="I193" s="105"/>
      <c r="J193" s="108"/>
      <c r="K193" s="108"/>
      <c r="L193" s="105"/>
      <c r="M193" s="108"/>
      <c r="N193" s="105"/>
      <c r="O193" s="108"/>
      <c r="P193" s="108"/>
      <c r="Q193" s="105"/>
      <c r="R193" s="105"/>
    </row>
    <row r="194" spans="1:18" ht="18.75">
      <c r="A194" s="3" t="s">
        <v>119</v>
      </c>
      <c r="B194" s="88"/>
      <c r="C194" s="105"/>
      <c r="D194" s="105"/>
      <c r="E194" s="105"/>
      <c r="F194" s="105"/>
      <c r="G194" s="105"/>
      <c r="H194" s="108"/>
      <c r="I194" s="105"/>
      <c r="J194" s="108"/>
      <c r="K194" s="108"/>
      <c r="L194" s="105"/>
      <c r="M194" s="108"/>
      <c r="N194" s="105"/>
      <c r="O194" s="108"/>
      <c r="P194" s="108"/>
      <c r="Q194" s="105"/>
      <c r="R194" s="105"/>
    </row>
    <row r="195" spans="1:18" ht="18.75">
      <c r="A195" s="3" t="s">
        <v>119</v>
      </c>
      <c r="B195" s="88"/>
      <c r="C195" s="105"/>
      <c r="D195" s="105"/>
      <c r="E195" s="105"/>
      <c r="F195" s="105"/>
      <c r="G195" s="105"/>
      <c r="H195" s="108"/>
      <c r="I195" s="105"/>
      <c r="J195" s="108"/>
      <c r="K195" s="108"/>
      <c r="L195" s="105"/>
      <c r="M195" s="108"/>
      <c r="N195" s="105"/>
      <c r="O195" s="108"/>
      <c r="P195" s="108"/>
      <c r="Q195" s="105"/>
      <c r="R195" s="105"/>
    </row>
    <row r="196" spans="1:18" ht="18.75">
      <c r="A196" s="3" t="s">
        <v>119</v>
      </c>
      <c r="B196" s="88"/>
      <c r="C196" s="105"/>
      <c r="D196" s="105"/>
      <c r="E196" s="105"/>
      <c r="F196" s="105"/>
      <c r="G196" s="105"/>
      <c r="H196" s="108"/>
      <c r="I196" s="105"/>
      <c r="J196" s="108"/>
      <c r="K196" s="108"/>
      <c r="L196" s="105"/>
      <c r="M196" s="108"/>
      <c r="N196" s="105"/>
      <c r="O196" s="108"/>
      <c r="P196" s="108"/>
      <c r="Q196" s="105"/>
      <c r="R196" s="105"/>
    </row>
    <row r="197" spans="1:18" ht="18.75">
      <c r="A197" s="3" t="s">
        <v>119</v>
      </c>
      <c r="B197" s="88"/>
      <c r="C197" s="105"/>
      <c r="D197" s="105"/>
      <c r="E197" s="105"/>
      <c r="F197" s="105"/>
      <c r="G197" s="105"/>
      <c r="H197" s="108"/>
      <c r="I197" s="105"/>
      <c r="J197" s="108"/>
      <c r="K197" s="108"/>
      <c r="L197" s="105"/>
      <c r="M197" s="108"/>
      <c r="N197" s="105"/>
      <c r="O197" s="108"/>
      <c r="P197" s="108"/>
      <c r="Q197" s="105"/>
      <c r="R197" s="105"/>
    </row>
    <row r="198" spans="1:18" ht="18.75">
      <c r="A198" s="3" t="s">
        <v>119</v>
      </c>
      <c r="B198" s="88"/>
      <c r="C198" s="105"/>
      <c r="D198" s="105"/>
      <c r="E198" s="105"/>
      <c r="F198" s="105"/>
      <c r="G198" s="105"/>
      <c r="H198" s="108"/>
      <c r="I198" s="105"/>
      <c r="J198" s="108"/>
      <c r="K198" s="108"/>
      <c r="L198" s="105"/>
      <c r="M198" s="108"/>
      <c r="N198" s="105"/>
      <c r="O198" s="108"/>
      <c r="P198" s="108"/>
      <c r="Q198" s="105"/>
      <c r="R198" s="105"/>
    </row>
    <row r="199" spans="1:18" ht="18.75">
      <c r="A199" s="3" t="s">
        <v>119</v>
      </c>
      <c r="B199" s="88"/>
      <c r="C199" s="105"/>
      <c r="D199" s="105"/>
      <c r="E199" s="105"/>
      <c r="F199" s="105"/>
      <c r="G199" s="105"/>
      <c r="H199" s="108"/>
      <c r="I199" s="105"/>
      <c r="J199" s="108"/>
      <c r="K199" s="108"/>
      <c r="L199" s="105"/>
      <c r="M199" s="108"/>
      <c r="N199" s="105"/>
      <c r="O199" s="108"/>
      <c r="P199" s="108"/>
      <c r="Q199" s="105"/>
      <c r="R199" s="105"/>
    </row>
    <row r="200" spans="1:18" ht="18.75">
      <c r="A200" s="3" t="s">
        <v>119</v>
      </c>
      <c r="B200" s="88"/>
      <c r="C200" s="105"/>
      <c r="D200" s="105"/>
      <c r="E200" s="105"/>
      <c r="F200" s="105"/>
      <c r="G200" s="105"/>
      <c r="H200" s="108"/>
      <c r="I200" s="105"/>
      <c r="J200" s="108"/>
      <c r="K200" s="108"/>
      <c r="L200" s="105"/>
      <c r="M200" s="108"/>
      <c r="N200" s="105"/>
      <c r="O200" s="108"/>
      <c r="P200" s="108"/>
      <c r="Q200" s="105"/>
      <c r="R200" s="105"/>
    </row>
    <row r="201" spans="1:18" ht="18.75">
      <c r="A201" s="3" t="s">
        <v>119</v>
      </c>
      <c r="B201" s="88"/>
      <c r="C201" s="105"/>
      <c r="D201" s="105"/>
      <c r="E201" s="105"/>
      <c r="F201" s="105"/>
      <c r="G201" s="105"/>
      <c r="H201" s="108"/>
      <c r="I201" s="105"/>
      <c r="J201" s="108"/>
      <c r="K201" s="108"/>
      <c r="L201" s="105"/>
      <c r="M201" s="108"/>
      <c r="N201" s="105"/>
      <c r="O201" s="108"/>
      <c r="P201" s="108"/>
      <c r="Q201" s="105"/>
      <c r="R201" s="105"/>
    </row>
    <row r="202" spans="1:18" ht="18.75">
      <c r="A202" s="3" t="s">
        <v>119</v>
      </c>
      <c r="B202" s="88"/>
      <c r="C202" s="105"/>
      <c r="D202" s="105"/>
      <c r="E202" s="105"/>
      <c r="F202" s="105"/>
      <c r="G202" s="105"/>
      <c r="H202" s="108"/>
      <c r="I202" s="105"/>
      <c r="J202" s="108"/>
      <c r="K202" s="108"/>
      <c r="L202" s="105"/>
      <c r="M202" s="108"/>
      <c r="N202" s="105"/>
      <c r="O202" s="108"/>
      <c r="P202" s="108"/>
      <c r="Q202" s="105"/>
      <c r="R202" s="105"/>
    </row>
    <row r="203" spans="1:18" ht="18.75">
      <c r="A203" s="3" t="s">
        <v>119</v>
      </c>
      <c r="B203" s="88"/>
      <c r="C203" s="105"/>
      <c r="D203" s="105"/>
      <c r="E203" s="105"/>
      <c r="F203" s="105"/>
      <c r="G203" s="105"/>
      <c r="H203" s="108"/>
      <c r="I203" s="105"/>
      <c r="J203" s="108"/>
      <c r="K203" s="108"/>
      <c r="L203" s="105"/>
      <c r="M203" s="108"/>
      <c r="N203" s="105"/>
      <c r="O203" s="108"/>
      <c r="P203" s="108"/>
      <c r="Q203" s="105"/>
      <c r="R203" s="105"/>
    </row>
    <row r="204" spans="1:18" ht="18.75">
      <c r="A204" s="3" t="s">
        <v>119</v>
      </c>
      <c r="B204" s="88"/>
      <c r="C204" s="105"/>
      <c r="D204" s="105"/>
      <c r="E204" s="105"/>
      <c r="F204" s="105"/>
      <c r="G204" s="105"/>
      <c r="H204" s="108"/>
      <c r="I204" s="105"/>
      <c r="J204" s="108"/>
      <c r="K204" s="108"/>
      <c r="L204" s="105"/>
      <c r="M204" s="108"/>
      <c r="N204" s="105"/>
      <c r="O204" s="108"/>
      <c r="P204" s="108"/>
      <c r="Q204" s="105"/>
      <c r="R204" s="105"/>
    </row>
    <row r="205" spans="1:18" ht="18.75">
      <c r="A205" s="3" t="s">
        <v>119</v>
      </c>
      <c r="B205" s="88"/>
      <c r="C205" s="105"/>
      <c r="D205" s="105"/>
      <c r="E205" s="105"/>
      <c r="F205" s="105"/>
      <c r="G205" s="105"/>
      <c r="H205" s="108"/>
      <c r="I205" s="105"/>
      <c r="J205" s="108"/>
      <c r="K205" s="108"/>
      <c r="L205" s="105"/>
      <c r="M205" s="108"/>
      <c r="N205" s="105"/>
      <c r="O205" s="108"/>
      <c r="P205" s="108"/>
      <c r="Q205" s="105"/>
      <c r="R205" s="105"/>
    </row>
    <row r="206" spans="1:18" ht="18.75">
      <c r="A206" s="3" t="s">
        <v>119</v>
      </c>
      <c r="B206" s="88"/>
      <c r="C206" s="105"/>
      <c r="D206" s="105"/>
      <c r="E206" s="105"/>
      <c r="F206" s="105"/>
      <c r="G206" s="105"/>
      <c r="H206" s="108"/>
      <c r="I206" s="105"/>
      <c r="J206" s="108"/>
      <c r="K206" s="108"/>
      <c r="L206" s="105"/>
      <c r="M206" s="108"/>
      <c r="N206" s="105"/>
      <c r="O206" s="108"/>
      <c r="P206" s="108"/>
      <c r="Q206" s="105"/>
      <c r="R206" s="105"/>
    </row>
    <row r="207" spans="1:18" ht="18.75">
      <c r="A207" s="3" t="s">
        <v>119</v>
      </c>
      <c r="B207" s="88"/>
      <c r="C207" s="105"/>
      <c r="D207" s="105"/>
      <c r="E207" s="105"/>
      <c r="F207" s="105"/>
      <c r="G207" s="105"/>
      <c r="H207" s="108"/>
      <c r="I207" s="105"/>
      <c r="J207" s="108"/>
      <c r="K207" s="108"/>
      <c r="L207" s="105"/>
      <c r="M207" s="108"/>
      <c r="N207" s="105"/>
      <c r="O207" s="108"/>
      <c r="P207" s="108"/>
      <c r="Q207" s="105"/>
      <c r="R207" s="105"/>
    </row>
    <row r="208" spans="1:18" ht="18.75">
      <c r="A208" s="3" t="s">
        <v>119</v>
      </c>
      <c r="B208" s="88"/>
      <c r="C208" s="105"/>
      <c r="D208" s="105"/>
      <c r="E208" s="105"/>
      <c r="F208" s="105"/>
      <c r="G208" s="105"/>
      <c r="H208" s="108"/>
      <c r="I208" s="105"/>
      <c r="J208" s="108"/>
      <c r="K208" s="108"/>
      <c r="L208" s="105"/>
      <c r="M208" s="108"/>
      <c r="N208" s="105"/>
      <c r="O208" s="108"/>
      <c r="P208" s="108"/>
      <c r="Q208" s="105"/>
      <c r="R208" s="105"/>
    </row>
    <row r="209" spans="1:18" ht="18.75">
      <c r="A209" s="3" t="s">
        <v>119</v>
      </c>
      <c r="B209" s="88"/>
      <c r="C209" s="105"/>
      <c r="D209" s="105"/>
      <c r="E209" s="105"/>
      <c r="F209" s="105"/>
      <c r="G209" s="105"/>
      <c r="H209" s="108"/>
      <c r="I209" s="105"/>
      <c r="J209" s="108"/>
      <c r="K209" s="108"/>
      <c r="L209" s="105"/>
      <c r="M209" s="108"/>
      <c r="N209" s="105"/>
      <c r="O209" s="108"/>
      <c r="P209" s="108"/>
      <c r="Q209" s="105"/>
      <c r="R209" s="105"/>
    </row>
    <row r="210" spans="1:18" ht="18.75">
      <c r="A210" s="3" t="s">
        <v>119</v>
      </c>
      <c r="B210" s="88"/>
      <c r="C210" s="105"/>
      <c r="D210" s="105"/>
      <c r="E210" s="105"/>
      <c r="F210" s="105"/>
      <c r="G210" s="105"/>
      <c r="H210" s="108"/>
      <c r="I210" s="105"/>
      <c r="J210" s="108"/>
      <c r="K210" s="108"/>
      <c r="L210" s="105"/>
      <c r="M210" s="108"/>
      <c r="N210" s="105"/>
      <c r="O210" s="108"/>
      <c r="P210" s="108"/>
      <c r="Q210" s="105"/>
      <c r="R210" s="105"/>
    </row>
    <row r="211" spans="1:18" ht="18.75">
      <c r="A211" s="3" t="s">
        <v>119</v>
      </c>
      <c r="B211" s="88"/>
      <c r="C211" s="105"/>
      <c r="D211" s="105"/>
      <c r="E211" s="105"/>
      <c r="F211" s="105"/>
      <c r="G211" s="105"/>
      <c r="H211" s="108"/>
      <c r="I211" s="105"/>
      <c r="J211" s="108"/>
      <c r="K211" s="108"/>
      <c r="L211" s="105"/>
      <c r="M211" s="108"/>
      <c r="N211" s="105"/>
      <c r="O211" s="108"/>
      <c r="P211" s="108"/>
      <c r="Q211" s="105"/>
      <c r="R211" s="105"/>
    </row>
    <row r="212" spans="1:18" ht="18.75">
      <c r="A212" s="3" t="s">
        <v>119</v>
      </c>
      <c r="B212" s="88"/>
      <c r="C212" s="105"/>
      <c r="D212" s="105"/>
      <c r="E212" s="105"/>
      <c r="F212" s="105"/>
      <c r="G212" s="105"/>
      <c r="H212" s="108"/>
      <c r="I212" s="105"/>
      <c r="J212" s="108"/>
      <c r="K212" s="108"/>
      <c r="L212" s="105"/>
      <c r="M212" s="108"/>
      <c r="N212" s="105"/>
      <c r="O212" s="108"/>
      <c r="P212" s="108"/>
      <c r="Q212" s="105"/>
      <c r="R212" s="105"/>
    </row>
    <row r="213" spans="1:18" ht="18.75">
      <c r="A213" s="3" t="s">
        <v>119</v>
      </c>
      <c r="B213" s="88"/>
      <c r="C213" s="105"/>
      <c r="D213" s="105"/>
      <c r="E213" s="105"/>
      <c r="F213" s="105"/>
      <c r="G213" s="105"/>
      <c r="H213" s="108"/>
      <c r="I213" s="105"/>
      <c r="J213" s="108"/>
      <c r="K213" s="108"/>
      <c r="L213" s="105"/>
      <c r="M213" s="108"/>
      <c r="N213" s="105"/>
      <c r="O213" s="108"/>
      <c r="P213" s="108"/>
      <c r="Q213" s="105"/>
      <c r="R213" s="105"/>
    </row>
    <row r="214" spans="1:18" ht="18.75">
      <c r="A214" s="3" t="s">
        <v>119</v>
      </c>
      <c r="B214" s="88"/>
      <c r="C214" s="105"/>
      <c r="D214" s="105"/>
      <c r="E214" s="105"/>
      <c r="F214" s="105"/>
      <c r="G214" s="105"/>
      <c r="H214" s="108"/>
      <c r="I214" s="105"/>
      <c r="J214" s="108"/>
      <c r="K214" s="108"/>
      <c r="L214" s="105"/>
      <c r="M214" s="108"/>
      <c r="N214" s="105"/>
      <c r="O214" s="108"/>
      <c r="P214" s="108"/>
      <c r="Q214" s="105"/>
      <c r="R214" s="105"/>
    </row>
    <row r="215" spans="1:18" ht="18.75">
      <c r="A215" s="3" t="s">
        <v>119</v>
      </c>
      <c r="B215" s="88"/>
      <c r="C215" s="105"/>
      <c r="D215" s="105"/>
      <c r="E215" s="105"/>
      <c r="F215" s="105"/>
      <c r="G215" s="105"/>
      <c r="H215" s="108"/>
      <c r="I215" s="105"/>
      <c r="J215" s="108"/>
      <c r="K215" s="108"/>
      <c r="L215" s="105"/>
      <c r="M215" s="108"/>
      <c r="N215" s="105"/>
      <c r="O215" s="108"/>
      <c r="P215" s="108"/>
      <c r="Q215" s="105"/>
      <c r="R215" s="105"/>
    </row>
    <row r="216" spans="1:18" ht="18.75">
      <c r="A216" s="3" t="s">
        <v>119</v>
      </c>
      <c r="B216" s="88"/>
      <c r="C216" s="105"/>
      <c r="D216" s="105"/>
      <c r="E216" s="105"/>
      <c r="F216" s="105"/>
      <c r="G216" s="105"/>
      <c r="H216" s="108"/>
      <c r="I216" s="105"/>
      <c r="J216" s="108"/>
      <c r="K216" s="108"/>
      <c r="L216" s="105"/>
      <c r="M216" s="108"/>
      <c r="N216" s="105"/>
      <c r="O216" s="108"/>
      <c r="P216" s="108"/>
      <c r="Q216" s="105"/>
      <c r="R216" s="105"/>
    </row>
    <row r="217" spans="1:18" ht="18.75">
      <c r="A217" s="3" t="s">
        <v>119</v>
      </c>
      <c r="B217" s="88"/>
      <c r="C217" s="105"/>
      <c r="D217" s="105"/>
      <c r="E217" s="105"/>
      <c r="F217" s="105"/>
      <c r="G217" s="105"/>
      <c r="H217" s="108"/>
      <c r="I217" s="105"/>
      <c r="J217" s="108"/>
      <c r="K217" s="108"/>
      <c r="L217" s="105"/>
      <c r="M217" s="108"/>
      <c r="N217" s="105"/>
      <c r="O217" s="108"/>
      <c r="P217" s="108"/>
      <c r="Q217" s="105"/>
      <c r="R217" s="105"/>
    </row>
    <row r="218" spans="1:18" ht="18.75">
      <c r="A218" s="3" t="s">
        <v>119</v>
      </c>
      <c r="B218" s="88"/>
      <c r="C218" s="105"/>
      <c r="D218" s="105"/>
      <c r="E218" s="105"/>
      <c r="F218" s="105"/>
      <c r="G218" s="105"/>
      <c r="H218" s="108"/>
      <c r="I218" s="105"/>
      <c r="J218" s="108"/>
      <c r="K218" s="108"/>
      <c r="L218" s="105"/>
      <c r="M218" s="108"/>
      <c r="N218" s="105"/>
      <c r="O218" s="108"/>
      <c r="P218" s="108"/>
      <c r="Q218" s="105"/>
      <c r="R218" s="105"/>
    </row>
    <row r="219" spans="1:18" ht="18.75">
      <c r="A219" s="3" t="s">
        <v>119</v>
      </c>
      <c r="B219" s="88"/>
      <c r="C219" s="105"/>
      <c r="D219" s="105"/>
      <c r="E219" s="105"/>
      <c r="F219" s="105"/>
      <c r="G219" s="105"/>
      <c r="H219" s="108"/>
      <c r="I219" s="105"/>
      <c r="J219" s="108"/>
      <c r="K219" s="108"/>
      <c r="L219" s="105"/>
      <c r="M219" s="108"/>
      <c r="N219" s="105"/>
      <c r="O219" s="108"/>
      <c r="P219" s="108"/>
      <c r="Q219" s="105"/>
      <c r="R219" s="105"/>
    </row>
    <row r="220" spans="1:18" ht="18.75">
      <c r="A220" s="3" t="s">
        <v>119</v>
      </c>
      <c r="B220" s="88"/>
      <c r="C220" s="105"/>
      <c r="D220" s="105"/>
      <c r="E220" s="105"/>
      <c r="F220" s="105"/>
      <c r="G220" s="105"/>
      <c r="H220" s="108"/>
      <c r="I220" s="105"/>
      <c r="J220" s="108"/>
      <c r="K220" s="108"/>
      <c r="L220" s="105"/>
      <c r="M220" s="108"/>
      <c r="N220" s="105"/>
      <c r="O220" s="108"/>
      <c r="P220" s="108"/>
      <c r="Q220" s="105"/>
      <c r="R220" s="105"/>
    </row>
    <row r="221" spans="1:18" ht="18.75">
      <c r="A221" s="3" t="s">
        <v>119</v>
      </c>
      <c r="B221" s="88"/>
      <c r="C221" s="105"/>
      <c r="D221" s="105"/>
      <c r="E221" s="105"/>
      <c r="F221" s="105"/>
      <c r="G221" s="105"/>
      <c r="H221" s="108"/>
      <c r="I221" s="105"/>
      <c r="J221" s="108"/>
      <c r="K221" s="108"/>
      <c r="L221" s="105"/>
      <c r="M221" s="108"/>
      <c r="N221" s="105"/>
      <c r="O221" s="108"/>
      <c r="P221" s="108"/>
      <c r="Q221" s="105"/>
      <c r="R221" s="105"/>
    </row>
    <row r="222" spans="1:18" ht="18.75">
      <c r="A222" s="3" t="s">
        <v>119</v>
      </c>
      <c r="B222" s="88"/>
      <c r="C222" s="105"/>
      <c r="D222" s="105"/>
      <c r="E222" s="105"/>
      <c r="F222" s="105"/>
      <c r="G222" s="105"/>
      <c r="H222" s="108"/>
      <c r="I222" s="105"/>
      <c r="J222" s="108"/>
      <c r="K222" s="108"/>
      <c r="L222" s="105"/>
      <c r="M222" s="108"/>
      <c r="N222" s="105"/>
      <c r="O222" s="108"/>
      <c r="P222" s="108"/>
      <c r="Q222" s="105"/>
      <c r="R222" s="105"/>
    </row>
    <row r="223" spans="1:18" ht="18.75">
      <c r="A223" s="3" t="s">
        <v>119</v>
      </c>
      <c r="B223" s="88"/>
      <c r="C223" s="105"/>
      <c r="D223" s="105"/>
      <c r="E223" s="105"/>
      <c r="F223" s="105"/>
      <c r="G223" s="105"/>
      <c r="H223" s="108"/>
      <c r="I223" s="105"/>
      <c r="J223" s="108"/>
      <c r="K223" s="108"/>
      <c r="L223" s="105"/>
      <c r="M223" s="108"/>
      <c r="N223" s="105"/>
      <c r="O223" s="108"/>
      <c r="P223" s="108"/>
      <c r="Q223" s="105"/>
      <c r="R223" s="105"/>
    </row>
    <row r="224" spans="1:18" ht="18.75">
      <c r="A224" s="3" t="s">
        <v>119</v>
      </c>
      <c r="B224" s="88"/>
      <c r="C224" s="105"/>
      <c r="D224" s="105"/>
      <c r="E224" s="105"/>
      <c r="F224" s="105"/>
      <c r="G224" s="105"/>
      <c r="H224" s="108"/>
      <c r="I224" s="105"/>
      <c r="J224" s="108"/>
      <c r="K224" s="108"/>
      <c r="L224" s="105"/>
      <c r="M224" s="108"/>
      <c r="N224" s="105"/>
      <c r="O224" s="108"/>
      <c r="P224" s="108"/>
      <c r="Q224" s="105"/>
      <c r="R224" s="105"/>
    </row>
    <row r="225" spans="1:18" ht="18.75">
      <c r="A225" s="3" t="s">
        <v>119</v>
      </c>
      <c r="B225" s="88"/>
      <c r="C225" s="105"/>
      <c r="D225" s="105"/>
      <c r="E225" s="105"/>
      <c r="F225" s="105"/>
      <c r="G225" s="105"/>
      <c r="H225" s="108"/>
      <c r="I225" s="105"/>
      <c r="J225" s="108"/>
      <c r="K225" s="108"/>
      <c r="L225" s="105"/>
      <c r="M225" s="108"/>
      <c r="N225" s="105"/>
      <c r="O225" s="108"/>
      <c r="P225" s="108"/>
      <c r="Q225" s="105"/>
      <c r="R225" s="105"/>
    </row>
    <row r="226" spans="1:18" ht="18.75">
      <c r="A226" s="3" t="s">
        <v>119</v>
      </c>
      <c r="B226" s="88"/>
      <c r="C226" s="105"/>
      <c r="D226" s="105"/>
      <c r="E226" s="105"/>
      <c r="F226" s="105"/>
      <c r="G226" s="105"/>
      <c r="H226" s="108"/>
      <c r="I226" s="105"/>
      <c r="J226" s="108"/>
      <c r="K226" s="108"/>
      <c r="L226" s="105"/>
      <c r="M226" s="108"/>
      <c r="N226" s="105"/>
      <c r="O226" s="108"/>
      <c r="P226" s="108"/>
      <c r="Q226" s="105"/>
      <c r="R226" s="105"/>
    </row>
    <row r="227" spans="1:18" ht="18.75">
      <c r="A227" s="3" t="s">
        <v>119</v>
      </c>
      <c r="B227" s="88"/>
      <c r="C227" s="105"/>
      <c r="D227" s="105"/>
      <c r="E227" s="105"/>
      <c r="F227" s="105"/>
      <c r="G227" s="105"/>
      <c r="H227" s="108"/>
      <c r="I227" s="105"/>
      <c r="J227" s="108"/>
      <c r="K227" s="108"/>
      <c r="L227" s="105"/>
      <c r="M227" s="108"/>
      <c r="N227" s="105"/>
      <c r="O227" s="108"/>
      <c r="P227" s="108"/>
      <c r="Q227" s="105"/>
      <c r="R227" s="105"/>
    </row>
    <row r="228" spans="1:18" ht="18.75">
      <c r="A228" s="3" t="s">
        <v>119</v>
      </c>
      <c r="B228" s="88"/>
      <c r="C228" s="105"/>
      <c r="D228" s="105"/>
      <c r="E228" s="105"/>
      <c r="F228" s="105"/>
      <c r="G228" s="105"/>
      <c r="H228" s="108"/>
      <c r="I228" s="105"/>
      <c r="J228" s="108"/>
      <c r="K228" s="108"/>
      <c r="L228" s="105"/>
      <c r="M228" s="108"/>
      <c r="N228" s="105"/>
      <c r="O228" s="108"/>
      <c r="P228" s="108"/>
      <c r="Q228" s="105"/>
      <c r="R228" s="105"/>
    </row>
    <row r="229" spans="1:18" ht="18.75">
      <c r="A229" s="3" t="s">
        <v>119</v>
      </c>
      <c r="B229" s="88"/>
      <c r="C229" s="105"/>
      <c r="D229" s="105"/>
      <c r="E229" s="105"/>
      <c r="F229" s="105"/>
      <c r="G229" s="105"/>
      <c r="H229" s="108"/>
      <c r="I229" s="105"/>
      <c r="J229" s="108"/>
      <c r="K229" s="108"/>
      <c r="L229" s="105"/>
      <c r="M229" s="108"/>
      <c r="N229" s="105"/>
      <c r="O229" s="108"/>
      <c r="P229" s="108"/>
      <c r="Q229" s="105"/>
      <c r="R229" s="105"/>
    </row>
    <row r="230" spans="1:18" ht="18.75">
      <c r="A230" s="3" t="s">
        <v>119</v>
      </c>
      <c r="B230" s="88"/>
      <c r="C230" s="105"/>
      <c r="D230" s="105"/>
      <c r="E230" s="105"/>
      <c r="F230" s="105"/>
      <c r="G230" s="105"/>
      <c r="H230" s="108"/>
      <c r="I230" s="105"/>
      <c r="J230" s="108"/>
      <c r="K230" s="108"/>
      <c r="L230" s="105"/>
      <c r="M230" s="108"/>
      <c r="N230" s="105"/>
      <c r="O230" s="108"/>
      <c r="P230" s="108"/>
      <c r="Q230" s="105"/>
      <c r="R230" s="105"/>
    </row>
    <row r="231" spans="1:18" ht="18.75">
      <c r="A231" s="3" t="s">
        <v>119</v>
      </c>
      <c r="B231" s="88"/>
      <c r="C231" s="105"/>
      <c r="D231" s="105"/>
      <c r="E231" s="105"/>
      <c r="F231" s="105"/>
      <c r="G231" s="105"/>
      <c r="H231" s="108"/>
      <c r="I231" s="105"/>
      <c r="J231" s="108"/>
      <c r="K231" s="108"/>
      <c r="L231" s="105"/>
      <c r="M231" s="108"/>
      <c r="N231" s="105"/>
      <c r="O231" s="108"/>
      <c r="P231" s="108"/>
      <c r="Q231" s="105"/>
      <c r="R231" s="105"/>
    </row>
    <row r="232" spans="1:18" ht="18.75">
      <c r="A232" s="3" t="s">
        <v>119</v>
      </c>
      <c r="B232" s="88"/>
      <c r="C232" s="105"/>
      <c r="D232" s="105"/>
      <c r="E232" s="105"/>
      <c r="F232" s="105"/>
      <c r="G232" s="105"/>
      <c r="H232" s="108"/>
      <c r="I232" s="105"/>
      <c r="J232" s="108"/>
      <c r="K232" s="108"/>
      <c r="L232" s="105"/>
      <c r="M232" s="108"/>
      <c r="N232" s="105"/>
      <c r="O232" s="108"/>
      <c r="P232" s="108"/>
      <c r="Q232" s="105"/>
      <c r="R232" s="105"/>
    </row>
    <row r="233" spans="1:18" ht="18.75">
      <c r="A233" s="3" t="s">
        <v>119</v>
      </c>
      <c r="B233" s="88"/>
      <c r="C233" s="105"/>
      <c r="D233" s="105"/>
      <c r="E233" s="105"/>
      <c r="F233" s="105"/>
      <c r="G233" s="105"/>
      <c r="H233" s="108"/>
      <c r="I233" s="105"/>
      <c r="J233" s="108"/>
      <c r="K233" s="108"/>
      <c r="L233" s="105"/>
      <c r="M233" s="108"/>
      <c r="N233" s="105"/>
      <c r="O233" s="108"/>
      <c r="P233" s="108"/>
      <c r="Q233" s="105"/>
      <c r="R233" s="105"/>
    </row>
    <row r="234" spans="1:18" ht="18.75">
      <c r="A234" s="3" t="s">
        <v>119</v>
      </c>
      <c r="B234" s="88"/>
      <c r="C234" s="105"/>
      <c r="D234" s="105"/>
      <c r="E234" s="105"/>
      <c r="F234" s="105"/>
      <c r="G234" s="105"/>
      <c r="H234" s="108"/>
      <c r="I234" s="105"/>
      <c r="J234" s="108"/>
      <c r="K234" s="108"/>
      <c r="L234" s="105"/>
      <c r="M234" s="108"/>
      <c r="N234" s="105"/>
      <c r="O234" s="108"/>
      <c r="P234" s="108"/>
      <c r="Q234" s="105"/>
      <c r="R234" s="105"/>
    </row>
    <row r="235" spans="1:18" ht="18.75">
      <c r="A235" s="3" t="s">
        <v>119</v>
      </c>
      <c r="B235" s="88"/>
      <c r="C235" s="105"/>
      <c r="D235" s="105"/>
      <c r="E235" s="105"/>
      <c r="F235" s="105"/>
      <c r="G235" s="105"/>
      <c r="H235" s="108"/>
      <c r="I235" s="105"/>
      <c r="J235" s="108"/>
      <c r="K235" s="108"/>
      <c r="L235" s="105"/>
      <c r="M235" s="108"/>
      <c r="N235" s="105"/>
      <c r="O235" s="108"/>
      <c r="P235" s="108"/>
      <c r="Q235" s="105"/>
      <c r="R235" s="105"/>
    </row>
    <row r="236" spans="1:18" ht="18.75">
      <c r="A236" s="3" t="s">
        <v>119</v>
      </c>
      <c r="B236" s="88"/>
      <c r="C236" s="105"/>
      <c r="D236" s="105"/>
      <c r="E236" s="105"/>
      <c r="F236" s="105"/>
      <c r="G236" s="105"/>
      <c r="H236" s="108"/>
      <c r="I236" s="105"/>
      <c r="J236" s="108"/>
      <c r="K236" s="108"/>
      <c r="L236" s="105"/>
      <c r="M236" s="108"/>
      <c r="N236" s="105"/>
      <c r="O236" s="108"/>
      <c r="P236" s="108"/>
      <c r="Q236" s="105"/>
      <c r="R236" s="105"/>
    </row>
    <row r="237" spans="1:18" ht="18.75">
      <c r="A237" s="3" t="s">
        <v>119</v>
      </c>
      <c r="B237" s="88"/>
      <c r="C237" s="105"/>
      <c r="D237" s="105"/>
      <c r="E237" s="105"/>
      <c r="F237" s="105"/>
      <c r="G237" s="105"/>
      <c r="H237" s="108"/>
      <c r="I237" s="105"/>
      <c r="J237" s="108"/>
      <c r="K237" s="108"/>
      <c r="L237" s="105"/>
      <c r="M237" s="108"/>
      <c r="N237" s="105"/>
      <c r="O237" s="108"/>
      <c r="P237" s="108"/>
      <c r="Q237" s="105"/>
      <c r="R237" s="105"/>
    </row>
    <row r="238" spans="1:18" ht="18.75">
      <c r="A238" s="3" t="s">
        <v>119</v>
      </c>
      <c r="B238" s="88"/>
      <c r="C238" s="105"/>
      <c r="D238" s="105"/>
      <c r="E238" s="105"/>
      <c r="F238" s="105"/>
      <c r="G238" s="105"/>
      <c r="H238" s="108"/>
      <c r="I238" s="105"/>
      <c r="J238" s="108"/>
      <c r="K238" s="108"/>
      <c r="L238" s="105"/>
      <c r="M238" s="108"/>
      <c r="N238" s="105"/>
      <c r="O238" s="108"/>
      <c r="P238" s="108"/>
      <c r="Q238" s="105"/>
      <c r="R238" s="105"/>
    </row>
    <row r="239" spans="1:18" ht="18.75">
      <c r="A239" s="3" t="s">
        <v>119</v>
      </c>
      <c r="B239" s="88"/>
      <c r="C239" s="105"/>
      <c r="D239" s="105"/>
      <c r="E239" s="105"/>
      <c r="F239" s="105"/>
      <c r="G239" s="105"/>
      <c r="H239" s="108"/>
      <c r="I239" s="105"/>
      <c r="J239" s="108"/>
      <c r="K239" s="108"/>
      <c r="L239" s="105"/>
      <c r="M239" s="108"/>
      <c r="N239" s="105"/>
      <c r="O239" s="108"/>
      <c r="P239" s="108"/>
      <c r="Q239" s="105"/>
      <c r="R239" s="105"/>
    </row>
    <row r="240" spans="1:18" ht="18.75">
      <c r="A240" s="3" t="s">
        <v>119</v>
      </c>
      <c r="B240" s="88"/>
      <c r="C240" s="105"/>
      <c r="D240" s="105"/>
      <c r="E240" s="105"/>
      <c r="F240" s="105"/>
      <c r="G240" s="105"/>
      <c r="H240" s="108"/>
      <c r="I240" s="105"/>
      <c r="J240" s="108"/>
      <c r="K240" s="108"/>
      <c r="L240" s="105"/>
      <c r="M240" s="108"/>
      <c r="N240" s="105"/>
      <c r="O240" s="108"/>
      <c r="P240" s="108"/>
      <c r="Q240" s="105"/>
      <c r="R240" s="105"/>
    </row>
    <row r="241" spans="1:18" ht="18.75">
      <c r="A241" s="3" t="s">
        <v>119</v>
      </c>
      <c r="B241" s="88"/>
      <c r="C241" s="105"/>
      <c r="D241" s="105"/>
      <c r="E241" s="105"/>
      <c r="F241" s="105"/>
      <c r="G241" s="105"/>
      <c r="H241" s="108"/>
      <c r="I241" s="105"/>
      <c r="J241" s="108"/>
      <c r="K241" s="108"/>
      <c r="L241" s="105"/>
      <c r="M241" s="108"/>
      <c r="N241" s="105"/>
      <c r="O241" s="108"/>
      <c r="P241" s="108"/>
      <c r="Q241" s="105"/>
      <c r="R241" s="105"/>
    </row>
    <row r="242" spans="1:18" ht="18.75">
      <c r="A242" s="3" t="s">
        <v>119</v>
      </c>
      <c r="B242" s="88"/>
      <c r="C242" s="105"/>
      <c r="D242" s="105"/>
      <c r="E242" s="105"/>
      <c r="F242" s="105"/>
      <c r="G242" s="105"/>
      <c r="H242" s="108"/>
      <c r="I242" s="105"/>
      <c r="J242" s="108"/>
      <c r="K242" s="108"/>
      <c r="L242" s="105"/>
      <c r="M242" s="108"/>
      <c r="N242" s="105"/>
      <c r="O242" s="108"/>
      <c r="P242" s="108"/>
      <c r="Q242" s="105"/>
      <c r="R242" s="105"/>
    </row>
    <row r="243" spans="1:18" ht="18.75">
      <c r="A243" s="3" t="s">
        <v>119</v>
      </c>
      <c r="B243" s="88"/>
      <c r="C243" s="105"/>
      <c r="D243" s="105"/>
      <c r="E243" s="105"/>
      <c r="F243" s="105"/>
      <c r="G243" s="105"/>
      <c r="H243" s="108"/>
      <c r="I243" s="105"/>
      <c r="J243" s="108"/>
      <c r="K243" s="108"/>
      <c r="L243" s="105"/>
      <c r="M243" s="108"/>
      <c r="N243" s="105"/>
      <c r="O243" s="108"/>
      <c r="P243" s="108"/>
      <c r="Q243" s="105"/>
      <c r="R243" s="105"/>
    </row>
    <row r="244" spans="1:18" ht="18.75">
      <c r="A244" s="3" t="s">
        <v>119</v>
      </c>
      <c r="B244" s="88"/>
      <c r="C244" s="105"/>
      <c r="D244" s="105"/>
      <c r="E244" s="105"/>
      <c r="F244" s="105"/>
      <c r="G244" s="105"/>
      <c r="H244" s="108"/>
      <c r="I244" s="105"/>
      <c r="J244" s="108"/>
      <c r="K244" s="108"/>
      <c r="L244" s="105"/>
      <c r="M244" s="108"/>
      <c r="N244" s="105"/>
      <c r="O244" s="108"/>
      <c r="P244" s="108"/>
      <c r="Q244" s="105"/>
      <c r="R244" s="105"/>
    </row>
    <row r="245" spans="1:18" ht="18.75">
      <c r="A245" s="3" t="s">
        <v>119</v>
      </c>
      <c r="B245" s="88"/>
      <c r="C245" s="105"/>
      <c r="D245" s="105"/>
      <c r="E245" s="105"/>
      <c r="F245" s="105"/>
      <c r="G245" s="105"/>
      <c r="H245" s="108"/>
      <c r="I245" s="105"/>
      <c r="J245" s="108"/>
      <c r="K245" s="108"/>
      <c r="L245" s="105"/>
      <c r="M245" s="108"/>
      <c r="N245" s="105"/>
      <c r="O245" s="108"/>
      <c r="P245" s="108"/>
      <c r="Q245" s="105"/>
      <c r="R245" s="105"/>
    </row>
    <row r="246" spans="1:18" ht="18.75">
      <c r="A246" s="3" t="s">
        <v>119</v>
      </c>
      <c r="B246" s="88"/>
      <c r="C246" s="105"/>
      <c r="D246" s="105"/>
      <c r="E246" s="105"/>
      <c r="F246" s="105"/>
      <c r="G246" s="105"/>
      <c r="H246" s="108"/>
      <c r="I246" s="105"/>
      <c r="J246" s="108"/>
      <c r="K246" s="108"/>
      <c r="L246" s="105"/>
      <c r="M246" s="108"/>
      <c r="N246" s="105"/>
      <c r="O246" s="108"/>
      <c r="P246" s="108"/>
      <c r="Q246" s="105"/>
      <c r="R246" s="105"/>
    </row>
    <row r="247" spans="1:18" ht="18.75">
      <c r="A247" s="3" t="s">
        <v>119</v>
      </c>
      <c r="B247" s="88"/>
      <c r="C247" s="105"/>
      <c r="D247" s="105"/>
      <c r="E247" s="105"/>
      <c r="F247" s="105"/>
      <c r="G247" s="105"/>
      <c r="H247" s="108"/>
      <c r="I247" s="105"/>
      <c r="J247" s="108"/>
      <c r="K247" s="108"/>
      <c r="L247" s="105"/>
      <c r="M247" s="108"/>
      <c r="N247" s="105"/>
      <c r="O247" s="108"/>
      <c r="P247" s="108"/>
      <c r="Q247" s="105"/>
      <c r="R247" s="105"/>
    </row>
    <row r="248" spans="1:18" ht="18.75">
      <c r="A248" s="3" t="s">
        <v>119</v>
      </c>
      <c r="B248" s="88"/>
      <c r="C248" s="105"/>
      <c r="D248" s="105"/>
      <c r="E248" s="105"/>
      <c r="F248" s="105"/>
      <c r="G248" s="105"/>
      <c r="H248" s="108"/>
      <c r="I248" s="105"/>
      <c r="J248" s="108"/>
      <c r="K248" s="108"/>
      <c r="L248" s="105"/>
      <c r="M248" s="108"/>
      <c r="N248" s="105"/>
      <c r="O248" s="108"/>
      <c r="P248" s="108"/>
      <c r="Q248" s="105"/>
      <c r="R248" s="105"/>
    </row>
    <row r="249" spans="1:18" ht="18.75">
      <c r="A249" s="3" t="s">
        <v>119</v>
      </c>
      <c r="B249" s="88"/>
      <c r="C249" s="105"/>
      <c r="D249" s="105"/>
      <c r="E249" s="105"/>
      <c r="F249" s="105"/>
      <c r="G249" s="105"/>
      <c r="H249" s="108"/>
      <c r="I249" s="105"/>
      <c r="J249" s="108"/>
      <c r="K249" s="108"/>
      <c r="L249" s="105"/>
      <c r="M249" s="108"/>
      <c r="N249" s="105"/>
      <c r="O249" s="108"/>
      <c r="P249" s="108"/>
      <c r="Q249" s="105"/>
      <c r="R249" s="105"/>
    </row>
    <row r="250" spans="1:18" ht="18.75">
      <c r="A250" s="3" t="s">
        <v>119</v>
      </c>
      <c r="B250" s="88"/>
      <c r="C250" s="105"/>
      <c r="D250" s="105"/>
      <c r="E250" s="105"/>
      <c r="F250" s="105"/>
      <c r="G250" s="105"/>
      <c r="H250" s="108"/>
      <c r="I250" s="105"/>
      <c r="J250" s="108"/>
      <c r="K250" s="108"/>
      <c r="L250" s="105"/>
      <c r="M250" s="108"/>
      <c r="N250" s="105"/>
      <c r="O250" s="108"/>
      <c r="P250" s="108"/>
      <c r="Q250" s="105"/>
      <c r="R250" s="105"/>
    </row>
    <row r="251" spans="1:18" ht="18.75">
      <c r="A251" s="3" t="s">
        <v>119</v>
      </c>
      <c r="B251" s="88"/>
      <c r="C251" s="105"/>
      <c r="D251" s="105"/>
      <c r="E251" s="105"/>
      <c r="F251" s="105"/>
      <c r="G251" s="105"/>
      <c r="H251" s="108"/>
      <c r="I251" s="105"/>
      <c r="J251" s="108"/>
      <c r="K251" s="108"/>
      <c r="L251" s="105"/>
      <c r="M251" s="108"/>
      <c r="N251" s="105"/>
      <c r="O251" s="108"/>
      <c r="P251" s="108"/>
      <c r="Q251" s="105"/>
      <c r="R251" s="105"/>
    </row>
    <row r="252" spans="1:18" ht="18.75">
      <c r="A252" s="3" t="s">
        <v>119</v>
      </c>
      <c r="B252" s="88"/>
      <c r="C252" s="105"/>
      <c r="D252" s="105"/>
      <c r="E252" s="105"/>
      <c r="F252" s="105"/>
      <c r="G252" s="105"/>
      <c r="H252" s="108"/>
      <c r="I252" s="105"/>
      <c r="J252" s="108"/>
      <c r="K252" s="108"/>
      <c r="L252" s="105"/>
      <c r="M252" s="108"/>
      <c r="N252" s="105"/>
      <c r="O252" s="108"/>
      <c r="P252" s="108"/>
      <c r="Q252" s="105"/>
      <c r="R252" s="105"/>
    </row>
    <row r="253" spans="1:18" ht="18.75">
      <c r="A253" s="3" t="s">
        <v>119</v>
      </c>
      <c r="B253" s="88"/>
      <c r="C253" s="105"/>
      <c r="D253" s="105"/>
      <c r="E253" s="105"/>
      <c r="F253" s="105"/>
      <c r="G253" s="105"/>
      <c r="H253" s="108"/>
      <c r="I253" s="105"/>
      <c r="J253" s="108"/>
      <c r="K253" s="108"/>
      <c r="L253" s="105"/>
      <c r="M253" s="108"/>
      <c r="N253" s="105"/>
      <c r="O253" s="108"/>
      <c r="P253" s="108"/>
      <c r="Q253" s="105"/>
      <c r="R253" s="105"/>
    </row>
    <row r="254" spans="1:18" ht="18.75">
      <c r="A254" s="3" t="s">
        <v>119</v>
      </c>
      <c r="B254" s="88"/>
      <c r="C254" s="105"/>
      <c r="D254" s="105"/>
      <c r="E254" s="105"/>
      <c r="F254" s="105"/>
      <c r="G254" s="105"/>
      <c r="H254" s="108"/>
      <c r="I254" s="105"/>
      <c r="J254" s="108"/>
      <c r="K254" s="108"/>
      <c r="L254" s="105"/>
      <c r="M254" s="108"/>
      <c r="N254" s="105"/>
      <c r="O254" s="108"/>
      <c r="P254" s="108"/>
      <c r="Q254" s="105"/>
      <c r="R254" s="105"/>
    </row>
    <row r="255" spans="1:18" ht="18.75">
      <c r="A255" s="3" t="s">
        <v>119</v>
      </c>
      <c r="B255" s="88"/>
      <c r="C255" s="105"/>
      <c r="D255" s="105"/>
      <c r="E255" s="105"/>
      <c r="F255" s="105"/>
      <c r="G255" s="105"/>
      <c r="H255" s="108"/>
      <c r="I255" s="105"/>
      <c r="J255" s="108"/>
      <c r="K255" s="108"/>
      <c r="L255" s="105"/>
      <c r="M255" s="108"/>
      <c r="N255" s="105"/>
      <c r="O255" s="108"/>
      <c r="P255" s="108"/>
      <c r="Q255" s="105"/>
      <c r="R255" s="105"/>
    </row>
    <row r="256" spans="1:18" ht="18.75">
      <c r="A256" s="3" t="s">
        <v>119</v>
      </c>
      <c r="B256" s="88"/>
      <c r="C256" s="105"/>
      <c r="D256" s="105"/>
      <c r="E256" s="105"/>
      <c r="F256" s="105"/>
      <c r="G256" s="105"/>
      <c r="H256" s="108"/>
      <c r="I256" s="105"/>
      <c r="J256" s="108"/>
      <c r="K256" s="108"/>
      <c r="L256" s="105"/>
      <c r="M256" s="108"/>
      <c r="N256" s="105"/>
      <c r="O256" s="108"/>
      <c r="P256" s="108"/>
      <c r="Q256" s="105"/>
      <c r="R256" s="105"/>
    </row>
    <row r="257" spans="1:18" ht="18.75">
      <c r="A257" s="3" t="s">
        <v>119</v>
      </c>
      <c r="B257" s="88"/>
      <c r="C257" s="105"/>
      <c r="D257" s="105"/>
      <c r="E257" s="105"/>
      <c r="F257" s="105"/>
      <c r="G257" s="105"/>
      <c r="H257" s="108"/>
      <c r="I257" s="105"/>
      <c r="J257" s="108"/>
      <c r="K257" s="108"/>
      <c r="L257" s="105"/>
      <c r="M257" s="108"/>
      <c r="N257" s="105"/>
      <c r="O257" s="108"/>
      <c r="P257" s="108"/>
      <c r="Q257" s="105"/>
      <c r="R257" s="105"/>
    </row>
    <row r="258" spans="1:18" ht="18.75">
      <c r="A258" s="3" t="s">
        <v>119</v>
      </c>
      <c r="B258" s="88"/>
      <c r="C258" s="105"/>
      <c r="D258" s="105"/>
      <c r="E258" s="105"/>
      <c r="F258" s="105"/>
      <c r="G258" s="105"/>
      <c r="H258" s="108"/>
      <c r="I258" s="105"/>
      <c r="J258" s="108"/>
      <c r="K258" s="108"/>
      <c r="L258" s="105"/>
      <c r="M258" s="108"/>
      <c r="N258" s="105"/>
      <c r="O258" s="108"/>
      <c r="P258" s="108"/>
      <c r="Q258" s="105"/>
      <c r="R258" s="105"/>
    </row>
    <row r="259" spans="1:18" ht="18.75">
      <c r="A259" s="3" t="s">
        <v>119</v>
      </c>
      <c r="B259" s="88"/>
      <c r="C259" s="105"/>
      <c r="D259" s="105"/>
      <c r="E259" s="105"/>
      <c r="F259" s="105"/>
      <c r="G259" s="105"/>
      <c r="H259" s="108"/>
      <c r="I259" s="105"/>
      <c r="J259" s="108"/>
      <c r="K259" s="108"/>
      <c r="L259" s="105"/>
      <c r="M259" s="108"/>
      <c r="N259" s="105"/>
      <c r="O259" s="108"/>
      <c r="P259" s="108"/>
      <c r="Q259" s="105"/>
      <c r="R259" s="105"/>
    </row>
    <row r="260" spans="1:18" ht="18.75">
      <c r="A260" s="3" t="s">
        <v>119</v>
      </c>
      <c r="B260" s="88"/>
      <c r="C260" s="105"/>
      <c r="D260" s="105"/>
      <c r="E260" s="105"/>
      <c r="F260" s="105"/>
      <c r="G260" s="105"/>
      <c r="H260" s="108"/>
      <c r="I260" s="105"/>
      <c r="J260" s="108"/>
      <c r="K260" s="108"/>
      <c r="L260" s="105"/>
      <c r="M260" s="108"/>
      <c r="N260" s="105"/>
      <c r="O260" s="108"/>
      <c r="P260" s="108"/>
      <c r="Q260" s="105"/>
      <c r="R260" s="105"/>
    </row>
    <row r="261" spans="1:18">
      <c r="B261" s="83"/>
      <c r="C261" s="83"/>
      <c r="D261" s="83"/>
      <c r="E261" s="83"/>
      <c r="F261" s="83"/>
      <c r="G261" s="83"/>
      <c r="H261" s="83"/>
      <c r="I261" s="83"/>
      <c r="J261" s="83"/>
      <c r="K261" s="83"/>
      <c r="L261" s="83"/>
      <c r="M261" s="83"/>
      <c r="N261" s="83"/>
      <c r="O261" s="83"/>
      <c r="P261" s="83"/>
      <c r="Q261" s="83"/>
      <c r="R261" s="83"/>
    </row>
    <row r="262" spans="1:18">
      <c r="B262" s="83"/>
      <c r="C262" s="94"/>
      <c r="D262" s="94"/>
      <c r="E262" s="83"/>
      <c r="F262" s="83"/>
      <c r="G262" s="83"/>
      <c r="H262" s="83"/>
      <c r="I262" s="83"/>
      <c r="J262" s="83"/>
      <c r="K262" s="83"/>
      <c r="L262" s="83"/>
      <c r="M262" s="83"/>
      <c r="N262" s="83"/>
      <c r="O262" s="83"/>
      <c r="P262" s="83"/>
      <c r="Q262" s="83"/>
      <c r="R262" s="83"/>
    </row>
    <row r="263" spans="1:18">
      <c r="B263" s="83"/>
      <c r="C263" s="94"/>
      <c r="D263" s="94"/>
      <c r="E263" s="83"/>
      <c r="F263" s="83"/>
      <c r="G263" s="83"/>
      <c r="H263" s="83"/>
      <c r="I263" s="83"/>
      <c r="J263" s="83"/>
      <c r="K263" s="83"/>
      <c r="L263" s="83"/>
      <c r="M263" s="83"/>
      <c r="N263" s="83"/>
      <c r="O263" s="83"/>
      <c r="P263" s="83"/>
      <c r="Q263" s="83"/>
      <c r="R263" s="83"/>
    </row>
    <row r="264" spans="1:18">
      <c r="B264" s="83"/>
      <c r="C264" s="94"/>
      <c r="D264" s="94"/>
      <c r="E264" s="83"/>
      <c r="F264" s="83"/>
      <c r="G264" s="83"/>
      <c r="H264" s="83"/>
      <c r="I264" s="83"/>
      <c r="J264" s="83"/>
      <c r="K264" s="83"/>
      <c r="L264" s="83"/>
      <c r="M264" s="83"/>
      <c r="N264" s="83"/>
      <c r="O264" s="83"/>
      <c r="P264" s="83"/>
      <c r="Q264" s="83"/>
      <c r="R264" s="83"/>
    </row>
    <row r="265" spans="1:18">
      <c r="B265" s="83"/>
      <c r="C265" s="94"/>
      <c r="D265" s="94"/>
      <c r="E265" s="83"/>
      <c r="F265" s="83"/>
      <c r="G265" s="83"/>
      <c r="H265" s="83"/>
      <c r="I265" s="83"/>
      <c r="J265" s="83"/>
      <c r="K265" s="83"/>
      <c r="L265" s="83"/>
      <c r="M265" s="83"/>
      <c r="N265" s="83"/>
      <c r="O265" s="83"/>
      <c r="P265" s="83"/>
      <c r="Q265" s="83"/>
      <c r="R265" s="83"/>
    </row>
    <row r="266" spans="1:18">
      <c r="B266" s="83"/>
      <c r="C266" s="94"/>
      <c r="D266" s="94"/>
      <c r="E266" s="83"/>
      <c r="F266" s="83"/>
      <c r="G266" s="83"/>
      <c r="H266" s="83"/>
      <c r="I266" s="83"/>
      <c r="J266" s="83"/>
      <c r="K266" s="83"/>
      <c r="L266" s="83"/>
      <c r="M266" s="83"/>
      <c r="N266" s="83"/>
      <c r="O266" s="83"/>
      <c r="P266" s="83"/>
      <c r="Q266" s="83"/>
      <c r="R266" s="83"/>
    </row>
    <row r="267" spans="1:18">
      <c r="B267" s="83"/>
      <c r="C267" s="94"/>
      <c r="D267" s="94"/>
      <c r="E267" s="83"/>
      <c r="F267" s="83"/>
      <c r="G267" s="83"/>
      <c r="H267" s="83"/>
      <c r="I267" s="83"/>
      <c r="J267" s="83"/>
      <c r="K267" s="83"/>
      <c r="L267" s="83"/>
      <c r="M267" s="83"/>
      <c r="N267" s="83"/>
      <c r="O267" s="83"/>
      <c r="P267" s="83"/>
      <c r="Q267" s="83"/>
      <c r="R267" s="83"/>
    </row>
    <row r="268" spans="1:18">
      <c r="B268" s="83"/>
      <c r="C268" s="94"/>
      <c r="D268" s="94"/>
      <c r="E268" s="83"/>
      <c r="F268" s="83"/>
      <c r="G268" s="83"/>
      <c r="H268" s="83"/>
      <c r="I268" s="83"/>
      <c r="J268" s="83"/>
      <c r="K268" s="83"/>
      <c r="L268" s="83"/>
      <c r="M268" s="83"/>
      <c r="N268" s="83"/>
      <c r="O268" s="83"/>
      <c r="P268" s="83"/>
      <c r="Q268" s="83"/>
      <c r="R268" s="83"/>
    </row>
    <row r="269" spans="1:18">
      <c r="B269" s="83"/>
      <c r="C269" s="94"/>
      <c r="D269" s="94"/>
      <c r="E269" s="83"/>
      <c r="F269" s="83"/>
      <c r="G269" s="83"/>
      <c r="H269" s="83"/>
      <c r="I269" s="83"/>
      <c r="J269" s="83"/>
      <c r="K269" s="83"/>
      <c r="L269" s="83"/>
      <c r="M269" s="83"/>
      <c r="N269" s="83"/>
      <c r="O269" s="83"/>
      <c r="P269" s="83"/>
      <c r="Q269" s="83"/>
      <c r="R269" s="83"/>
    </row>
    <row r="270" spans="1:18">
      <c r="B270" s="83"/>
      <c r="C270" s="94"/>
      <c r="D270" s="94"/>
      <c r="E270" s="83"/>
      <c r="F270" s="83"/>
      <c r="G270" s="83"/>
      <c r="H270" s="83"/>
      <c r="I270" s="83"/>
      <c r="J270" s="83"/>
      <c r="K270" s="83"/>
      <c r="L270" s="83"/>
      <c r="M270" s="83"/>
      <c r="N270" s="83"/>
      <c r="O270" s="83"/>
      <c r="P270" s="83"/>
      <c r="Q270" s="83"/>
      <c r="R270" s="83"/>
    </row>
  </sheetData>
  <sheetProtection algorithmName="SHA-512" hashValue="cNAy94GHc86yRwY5n9nNIxGDN1YXf1j/PGbzfEKhJCkxkt5v0r8iSu/mHG5SsC6ldx8OOFXQTAjd4HZ5QP49uQ==" saltValue="XqONceYicqlc8eMfqeTOeg==" spinCount="100000" sheet="1" objects="1" scenarios="1"/>
  <mergeCells count="3">
    <mergeCell ref="B4:R4"/>
    <mergeCell ref="C2:J2"/>
    <mergeCell ref="A2:A3"/>
  </mergeCells>
  <phoneticPr fontId="4" type="noConversion"/>
  <conditionalFormatting sqref="B10:R10">
    <cfRule type="expression" dxfId="17" priority="9">
      <formula>ISNUMBER(SEARCH("error",B10))</formula>
    </cfRule>
  </conditionalFormatting>
  <conditionalFormatting sqref="B261:R261">
    <cfRule type="expression" dxfId="16" priority="1">
      <formula>MOD(ROW(),2)=0</formula>
    </cfRule>
  </conditionalFormatting>
  <dataValidations count="2">
    <dataValidation type="whole" allowBlank="1" showDropDown="1" showInputMessage="1" showErrorMessage="1" error="Please enter a valid Integer" sqref="Q11:R260 N11:N260 L11:L260 I11:I260 C11:G260" xr:uid="{2ACBDDF7-5810-41D7-9699-FAAC77CD3C1B}">
      <formula1>-999999999999999</formula1>
      <formula2>999999999999999</formula2>
    </dataValidation>
    <dataValidation type="decimal" allowBlank="1" showDropDown="1" showInputMessage="1" showErrorMessage="1" error="Please enter a valid Monetary value" sqref="H11:H260 O11:P260 M11:M260 J11:K260" xr:uid="{692B3EB9-B47C-458E-B06E-186D932CFF5A}">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EE7DE1B8-153E-426D-A872-35A9E2B55583}">
          <x14:formula1>
            <xm:f>Lists!$U$2:$U$250</xm:f>
          </x14:formula1>
          <xm:sqref>B11:B260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6DD86-ACE8-43F0-B917-F354FC2B6131}">
  <sheetPr codeName="Sheet32"/>
  <dimension ref="A1:CS270"/>
  <sheetViews>
    <sheetView zoomScale="90" zoomScaleNormal="90" workbookViewId="0">
      <selection activeCell="B11" sqref="B11"/>
    </sheetView>
  </sheetViews>
  <sheetFormatPr defaultColWidth="15.42578125" defaultRowHeight="15"/>
  <cols>
    <col min="1" max="1" width="28.5703125" style="57" customWidth="1"/>
    <col min="2" max="6" width="27.7109375" customWidth="1"/>
  </cols>
  <sheetData>
    <row r="1" spans="1:97" s="57" customFormat="1" ht="2.25" customHeight="1">
      <c r="A1" s="54"/>
    </row>
    <row r="2" spans="1:97" ht="75.75" customHeight="1">
      <c r="A2" s="187" t="s">
        <v>43</v>
      </c>
      <c r="B2" s="58" t="s">
        <v>331</v>
      </c>
      <c r="C2" s="190" t="s">
        <v>332</v>
      </c>
      <c r="D2" s="190"/>
      <c r="E2" s="190"/>
      <c r="F2" s="190"/>
      <c r="G2" s="190"/>
      <c r="H2" s="190"/>
      <c r="I2" s="190"/>
      <c r="J2" s="190"/>
    </row>
    <row r="3" spans="1:97" s="60" customFormat="1" ht="76.5" customHeight="1">
      <c r="A3" s="187"/>
      <c r="B3" s="59"/>
    </row>
    <row r="4" spans="1:97" s="57" customFormat="1" ht="24" customHeight="1">
      <c r="A4" s="61" t="s">
        <v>46</v>
      </c>
      <c r="B4" s="184" t="s">
        <v>332</v>
      </c>
      <c r="C4" s="184"/>
      <c r="D4" s="184"/>
      <c r="E4" s="185"/>
      <c r="F4" s="186"/>
    </row>
    <row r="5" spans="1:97" s="15" customFormat="1" ht="78.75" customHeight="1">
      <c r="A5" s="7" t="s">
        <v>50</v>
      </c>
      <c r="B5" s="99" t="s">
        <v>317</v>
      </c>
      <c r="C5" s="99" t="s">
        <v>333</v>
      </c>
      <c r="D5" s="99" t="s">
        <v>334</v>
      </c>
      <c r="E5" s="100" t="s">
        <v>335</v>
      </c>
      <c r="F5" s="101" t="s">
        <v>336</v>
      </c>
    </row>
    <row r="6" spans="1:97" ht="21" customHeight="1">
      <c r="A6" s="5" t="s">
        <v>80</v>
      </c>
      <c r="B6" s="69" t="s">
        <v>81</v>
      </c>
      <c r="C6" s="69" t="s">
        <v>82</v>
      </c>
      <c r="D6" s="69" t="s">
        <v>83</v>
      </c>
      <c r="E6" s="71" t="s">
        <v>84</v>
      </c>
      <c r="F6" s="115" t="s">
        <v>85</v>
      </c>
    </row>
    <row r="7" spans="1:97" s="16" customFormat="1" ht="15" customHeight="1">
      <c r="A7" s="6" t="s">
        <v>110</v>
      </c>
      <c r="B7" s="74"/>
      <c r="C7" s="74" t="s">
        <v>149</v>
      </c>
      <c r="D7" s="74" t="s">
        <v>149</v>
      </c>
      <c r="E7" s="75" t="s">
        <v>150</v>
      </c>
      <c r="F7" s="76" t="s">
        <v>149</v>
      </c>
    </row>
    <row r="8" spans="1:97" ht="15" customHeight="1">
      <c r="A8" s="6" t="s">
        <v>111</v>
      </c>
      <c r="B8" s="74" t="s">
        <v>128</v>
      </c>
      <c r="C8" s="74" t="s">
        <v>151</v>
      </c>
      <c r="D8" s="74" t="s">
        <v>151</v>
      </c>
      <c r="E8" s="75" t="s">
        <v>158</v>
      </c>
      <c r="F8" s="76" t="s">
        <v>151</v>
      </c>
    </row>
    <row r="9" spans="1:97" ht="15" customHeight="1">
      <c r="A9" s="6" t="s">
        <v>117</v>
      </c>
      <c r="B9" s="74"/>
      <c r="C9" s="74"/>
      <c r="D9" s="74"/>
      <c r="E9" s="75"/>
      <c r="F9" s="76"/>
    </row>
    <row r="10" spans="1:97"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80" t="str">
        <f>IFERROR(LOOKUP(2, 1/((Validations_ext!$B$2:$B$2004=$B$2)*(Validations_ext!$C$2:$C$2004=$E6)), Validations_ext!$J$2:$J$2004), "OK")</f>
        <v>OK</v>
      </c>
      <c r="F10" s="81" t="str">
        <f>IFERROR(LOOKUP(2, 1/((Validations_ext!$B$2:$B$2004=$B$2)*(Validations_ext!$C$2:$C$2004=$F6)), Validations_ext!$J$2:$J$2004), "OK")</f>
        <v>OK</v>
      </c>
    </row>
    <row r="11" spans="1:97" ht="31.5" customHeight="1">
      <c r="A11" s="3" t="s">
        <v>119</v>
      </c>
      <c r="B11" s="88"/>
      <c r="C11" s="105"/>
      <c r="D11" s="105"/>
      <c r="E11" s="108"/>
      <c r="F11" s="105"/>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row>
    <row r="12" spans="1:97" ht="15" customHeight="1">
      <c r="A12" s="3" t="s">
        <v>119</v>
      </c>
      <c r="B12" s="88"/>
      <c r="C12" s="105"/>
      <c r="D12" s="105"/>
      <c r="E12" s="108"/>
      <c r="F12" s="105"/>
    </row>
    <row r="13" spans="1:97" ht="18.75">
      <c r="A13" s="3" t="s">
        <v>119</v>
      </c>
      <c r="B13" s="88"/>
      <c r="C13" s="105"/>
      <c r="D13" s="105"/>
      <c r="E13" s="108"/>
      <c r="F13" s="105"/>
    </row>
    <row r="14" spans="1:97" ht="18.75">
      <c r="A14" s="3" t="s">
        <v>119</v>
      </c>
      <c r="B14" s="88"/>
      <c r="C14" s="105"/>
      <c r="D14" s="105"/>
      <c r="E14" s="108"/>
      <c r="F14" s="105"/>
    </row>
    <row r="15" spans="1:97" ht="18.75">
      <c r="A15" s="3" t="s">
        <v>119</v>
      </c>
      <c r="B15" s="88"/>
      <c r="C15" s="105"/>
      <c r="D15" s="105"/>
      <c r="E15" s="108"/>
      <c r="F15" s="105"/>
    </row>
    <row r="16" spans="1:97" ht="18.75">
      <c r="A16" s="3" t="s">
        <v>119</v>
      </c>
      <c r="B16" s="88"/>
      <c r="C16" s="105"/>
      <c r="D16" s="105"/>
      <c r="E16" s="108"/>
      <c r="F16" s="105"/>
    </row>
    <row r="17" spans="1:6" ht="18.75">
      <c r="A17" s="3" t="s">
        <v>119</v>
      </c>
      <c r="B17" s="88"/>
      <c r="C17" s="105"/>
      <c r="D17" s="105"/>
      <c r="E17" s="108"/>
      <c r="F17" s="105"/>
    </row>
    <row r="18" spans="1:6" ht="18.75">
      <c r="A18" s="3" t="s">
        <v>119</v>
      </c>
      <c r="B18" s="88"/>
      <c r="C18" s="105"/>
      <c r="D18" s="105"/>
      <c r="E18" s="108"/>
      <c r="F18" s="105"/>
    </row>
    <row r="19" spans="1:6" ht="18.75">
      <c r="A19" s="3" t="s">
        <v>119</v>
      </c>
      <c r="B19" s="88"/>
      <c r="C19" s="105"/>
      <c r="D19" s="105"/>
      <c r="E19" s="108"/>
      <c r="F19" s="105"/>
    </row>
    <row r="20" spans="1:6" ht="18.75">
      <c r="A20" s="3" t="s">
        <v>119</v>
      </c>
      <c r="B20" s="88"/>
      <c r="C20" s="105"/>
      <c r="D20" s="105"/>
      <c r="E20" s="108"/>
      <c r="F20" s="105"/>
    </row>
    <row r="21" spans="1:6" ht="18.75">
      <c r="A21" s="3" t="s">
        <v>119</v>
      </c>
      <c r="B21" s="88"/>
      <c r="C21" s="105"/>
      <c r="D21" s="105"/>
      <c r="E21" s="108"/>
      <c r="F21" s="105"/>
    </row>
    <row r="22" spans="1:6" ht="18.75">
      <c r="A22" s="3" t="s">
        <v>119</v>
      </c>
      <c r="B22" s="88"/>
      <c r="C22" s="105"/>
      <c r="D22" s="105"/>
      <c r="E22" s="108"/>
      <c r="F22" s="105"/>
    </row>
    <row r="23" spans="1:6" ht="18.75">
      <c r="A23" s="3" t="s">
        <v>119</v>
      </c>
      <c r="B23" s="88"/>
      <c r="C23" s="105"/>
      <c r="D23" s="105"/>
      <c r="E23" s="108"/>
      <c r="F23" s="105"/>
    </row>
    <row r="24" spans="1:6" ht="18.75">
      <c r="A24" s="3" t="s">
        <v>119</v>
      </c>
      <c r="B24" s="88"/>
      <c r="C24" s="105"/>
      <c r="D24" s="105"/>
      <c r="E24" s="108"/>
      <c r="F24" s="105"/>
    </row>
    <row r="25" spans="1:6" ht="18.75">
      <c r="A25" s="3" t="s">
        <v>119</v>
      </c>
      <c r="B25" s="88"/>
      <c r="C25" s="105"/>
      <c r="D25" s="105"/>
      <c r="E25" s="108"/>
      <c r="F25" s="105"/>
    </row>
    <row r="26" spans="1:6" ht="18.75">
      <c r="A26" s="3" t="s">
        <v>119</v>
      </c>
      <c r="B26" s="88"/>
      <c r="C26" s="105"/>
      <c r="D26" s="105"/>
      <c r="E26" s="108"/>
      <c r="F26" s="105"/>
    </row>
    <row r="27" spans="1:6" ht="18.75">
      <c r="A27" s="3" t="s">
        <v>119</v>
      </c>
      <c r="B27" s="88"/>
      <c r="C27" s="105"/>
      <c r="D27" s="105"/>
      <c r="E27" s="108"/>
      <c r="F27" s="105"/>
    </row>
    <row r="28" spans="1:6" ht="18.75">
      <c r="A28" s="3" t="s">
        <v>119</v>
      </c>
      <c r="B28" s="88"/>
      <c r="C28" s="105"/>
      <c r="D28" s="105"/>
      <c r="E28" s="108"/>
      <c r="F28" s="105"/>
    </row>
    <row r="29" spans="1:6" ht="18.75">
      <c r="A29" s="3" t="s">
        <v>119</v>
      </c>
      <c r="B29" s="88"/>
      <c r="C29" s="105"/>
      <c r="D29" s="105"/>
      <c r="E29" s="108"/>
      <c r="F29" s="105"/>
    </row>
    <row r="30" spans="1:6" ht="18.75">
      <c r="A30" s="3" t="s">
        <v>119</v>
      </c>
      <c r="B30" s="88"/>
      <c r="C30" s="105"/>
      <c r="D30" s="105"/>
      <c r="E30" s="108"/>
      <c r="F30" s="105"/>
    </row>
    <row r="31" spans="1:6" ht="18.75">
      <c r="A31" s="3" t="s">
        <v>119</v>
      </c>
      <c r="B31" s="88"/>
      <c r="C31" s="105"/>
      <c r="D31" s="105"/>
      <c r="E31" s="108"/>
      <c r="F31" s="105"/>
    </row>
    <row r="32" spans="1:6" ht="18.75">
      <c r="A32" s="3" t="s">
        <v>119</v>
      </c>
      <c r="B32" s="88"/>
      <c r="C32" s="105"/>
      <c r="D32" s="105"/>
      <c r="E32" s="108"/>
      <c r="F32" s="105"/>
    </row>
    <row r="33" spans="1:6" ht="18.75">
      <c r="A33" s="3" t="s">
        <v>119</v>
      </c>
      <c r="B33" s="88"/>
      <c r="C33" s="105"/>
      <c r="D33" s="105"/>
      <c r="E33" s="108"/>
      <c r="F33" s="105"/>
    </row>
    <row r="34" spans="1:6" ht="18.75">
      <c r="A34" s="3" t="s">
        <v>119</v>
      </c>
      <c r="B34" s="88"/>
      <c r="C34" s="105"/>
      <c r="D34" s="105"/>
      <c r="E34" s="108"/>
      <c r="F34" s="105"/>
    </row>
    <row r="35" spans="1:6" ht="18.75">
      <c r="A35" s="3" t="s">
        <v>119</v>
      </c>
      <c r="B35" s="88"/>
      <c r="C35" s="105"/>
      <c r="D35" s="105"/>
      <c r="E35" s="108"/>
      <c r="F35" s="105"/>
    </row>
    <row r="36" spans="1:6" ht="18.75">
      <c r="A36" s="3" t="s">
        <v>119</v>
      </c>
      <c r="B36" s="88"/>
      <c r="C36" s="105"/>
      <c r="D36" s="105"/>
      <c r="E36" s="108"/>
      <c r="F36" s="105"/>
    </row>
    <row r="37" spans="1:6" ht="18.75">
      <c r="A37" s="3" t="s">
        <v>119</v>
      </c>
      <c r="B37" s="88"/>
      <c r="C37" s="105"/>
      <c r="D37" s="105"/>
      <c r="E37" s="108"/>
      <c r="F37" s="105"/>
    </row>
    <row r="38" spans="1:6" ht="18.75">
      <c r="A38" s="3" t="s">
        <v>119</v>
      </c>
      <c r="B38" s="88"/>
      <c r="C38" s="105"/>
      <c r="D38" s="105"/>
      <c r="E38" s="108"/>
      <c r="F38" s="105"/>
    </row>
    <row r="39" spans="1:6" ht="18.75">
      <c r="A39" s="3" t="s">
        <v>119</v>
      </c>
      <c r="B39" s="88"/>
      <c r="C39" s="105"/>
      <c r="D39" s="105"/>
      <c r="E39" s="108"/>
      <c r="F39" s="105"/>
    </row>
    <row r="40" spans="1:6" ht="18.75">
      <c r="A40" s="3" t="s">
        <v>119</v>
      </c>
      <c r="B40" s="88"/>
      <c r="C40" s="105"/>
      <c r="D40" s="105"/>
      <c r="E40" s="108"/>
      <c r="F40" s="105"/>
    </row>
    <row r="41" spans="1:6" ht="18.75">
      <c r="A41" s="3" t="s">
        <v>119</v>
      </c>
      <c r="B41" s="88"/>
      <c r="C41" s="105"/>
      <c r="D41" s="105"/>
      <c r="E41" s="108"/>
      <c r="F41" s="105"/>
    </row>
    <row r="42" spans="1:6" ht="18.75">
      <c r="A42" s="3" t="s">
        <v>119</v>
      </c>
      <c r="B42" s="88"/>
      <c r="C42" s="105"/>
      <c r="D42" s="105"/>
      <c r="E42" s="108"/>
      <c r="F42" s="105"/>
    </row>
    <row r="43" spans="1:6" ht="18.75">
      <c r="A43" s="3" t="s">
        <v>119</v>
      </c>
      <c r="B43" s="88"/>
      <c r="C43" s="105"/>
      <c r="D43" s="105"/>
      <c r="E43" s="108"/>
      <c r="F43" s="105"/>
    </row>
    <row r="44" spans="1:6" ht="18.75">
      <c r="A44" s="3" t="s">
        <v>119</v>
      </c>
      <c r="B44" s="88"/>
      <c r="C44" s="105"/>
      <c r="D44" s="105"/>
      <c r="E44" s="108"/>
      <c r="F44" s="105"/>
    </row>
    <row r="45" spans="1:6" ht="18.75">
      <c r="A45" s="3" t="s">
        <v>119</v>
      </c>
      <c r="B45" s="88"/>
      <c r="C45" s="105"/>
      <c r="D45" s="105"/>
      <c r="E45" s="108"/>
      <c r="F45" s="105"/>
    </row>
    <row r="46" spans="1:6" ht="18.75">
      <c r="A46" s="3" t="s">
        <v>119</v>
      </c>
      <c r="B46" s="88"/>
      <c r="C46" s="105"/>
      <c r="D46" s="105"/>
      <c r="E46" s="108"/>
      <c r="F46" s="105"/>
    </row>
    <row r="47" spans="1:6" ht="18.75">
      <c r="A47" s="3" t="s">
        <v>119</v>
      </c>
      <c r="B47" s="88"/>
      <c r="C47" s="105"/>
      <c r="D47" s="105"/>
      <c r="E47" s="108"/>
      <c r="F47" s="105"/>
    </row>
    <row r="48" spans="1:6" ht="18.75">
      <c r="A48" s="3" t="s">
        <v>119</v>
      </c>
      <c r="B48" s="88"/>
      <c r="C48" s="105"/>
      <c r="D48" s="105"/>
      <c r="E48" s="108"/>
      <c r="F48" s="105"/>
    </row>
    <row r="49" spans="1:6" ht="18.75">
      <c r="A49" s="3" t="s">
        <v>119</v>
      </c>
      <c r="B49" s="88"/>
      <c r="C49" s="105"/>
      <c r="D49" s="105"/>
      <c r="E49" s="108"/>
      <c r="F49" s="105"/>
    </row>
    <row r="50" spans="1:6" ht="18.75">
      <c r="A50" s="3" t="s">
        <v>119</v>
      </c>
      <c r="B50" s="88"/>
      <c r="C50" s="105"/>
      <c r="D50" s="105"/>
      <c r="E50" s="108"/>
      <c r="F50" s="105"/>
    </row>
    <row r="51" spans="1:6" ht="18.75">
      <c r="A51" s="3" t="s">
        <v>119</v>
      </c>
      <c r="B51" s="88"/>
      <c r="C51" s="105"/>
      <c r="D51" s="105"/>
      <c r="E51" s="108"/>
      <c r="F51" s="105"/>
    </row>
    <row r="52" spans="1:6" ht="18.75">
      <c r="A52" s="3" t="s">
        <v>119</v>
      </c>
      <c r="B52" s="88"/>
      <c r="C52" s="105"/>
      <c r="D52" s="105"/>
      <c r="E52" s="108"/>
      <c r="F52" s="105"/>
    </row>
    <row r="53" spans="1:6" ht="18.75">
      <c r="A53" s="3" t="s">
        <v>119</v>
      </c>
      <c r="B53" s="88"/>
      <c r="C53" s="105"/>
      <c r="D53" s="105"/>
      <c r="E53" s="108"/>
      <c r="F53" s="105"/>
    </row>
    <row r="54" spans="1:6" ht="18.75">
      <c r="A54" s="3" t="s">
        <v>119</v>
      </c>
      <c r="B54" s="88"/>
      <c r="C54" s="105"/>
      <c r="D54" s="105"/>
      <c r="E54" s="108"/>
      <c r="F54" s="105"/>
    </row>
    <row r="55" spans="1:6" ht="18.75">
      <c r="A55" s="3" t="s">
        <v>119</v>
      </c>
      <c r="B55" s="88"/>
      <c r="C55" s="105"/>
      <c r="D55" s="105"/>
      <c r="E55" s="108"/>
      <c r="F55" s="105"/>
    </row>
    <row r="56" spans="1:6" ht="18.75">
      <c r="A56" s="3" t="s">
        <v>119</v>
      </c>
      <c r="B56" s="88"/>
      <c r="C56" s="105"/>
      <c r="D56" s="105"/>
      <c r="E56" s="108"/>
      <c r="F56" s="105"/>
    </row>
    <row r="57" spans="1:6" ht="18.75">
      <c r="A57" s="3" t="s">
        <v>119</v>
      </c>
      <c r="B57" s="88"/>
      <c r="C57" s="105"/>
      <c r="D57" s="105"/>
      <c r="E57" s="108"/>
      <c r="F57" s="105"/>
    </row>
    <row r="58" spans="1:6" ht="18.75">
      <c r="A58" s="3" t="s">
        <v>119</v>
      </c>
      <c r="B58" s="88"/>
      <c r="C58" s="105"/>
      <c r="D58" s="105"/>
      <c r="E58" s="108"/>
      <c r="F58" s="105"/>
    </row>
    <row r="59" spans="1:6" ht="18.75">
      <c r="A59" s="3" t="s">
        <v>119</v>
      </c>
      <c r="B59" s="88"/>
      <c r="C59" s="105"/>
      <c r="D59" s="105"/>
      <c r="E59" s="108"/>
      <c r="F59" s="105"/>
    </row>
    <row r="60" spans="1:6" ht="18.75">
      <c r="A60" s="3" t="s">
        <v>119</v>
      </c>
      <c r="B60" s="88"/>
      <c r="C60" s="105"/>
      <c r="D60" s="105"/>
      <c r="E60" s="108"/>
      <c r="F60" s="105"/>
    </row>
    <row r="61" spans="1:6" ht="18.75">
      <c r="A61" s="3" t="s">
        <v>119</v>
      </c>
      <c r="B61" s="88"/>
      <c r="C61" s="105"/>
      <c r="D61" s="105"/>
      <c r="E61" s="108"/>
      <c r="F61" s="105"/>
    </row>
    <row r="62" spans="1:6" ht="18.75">
      <c r="A62" s="3" t="s">
        <v>119</v>
      </c>
      <c r="B62" s="88"/>
      <c r="C62" s="105"/>
      <c r="D62" s="105"/>
      <c r="E62" s="108"/>
      <c r="F62" s="105"/>
    </row>
    <row r="63" spans="1:6" ht="18.75">
      <c r="A63" s="3" t="s">
        <v>119</v>
      </c>
      <c r="B63" s="88"/>
      <c r="C63" s="105"/>
      <c r="D63" s="105"/>
      <c r="E63" s="108"/>
      <c r="F63" s="105"/>
    </row>
    <row r="64" spans="1:6" ht="18.75">
      <c r="A64" s="3" t="s">
        <v>119</v>
      </c>
      <c r="B64" s="88"/>
      <c r="C64" s="105"/>
      <c r="D64" s="105"/>
      <c r="E64" s="108"/>
      <c r="F64" s="105"/>
    </row>
    <row r="65" spans="1:6" ht="18.75">
      <c r="A65" s="3" t="s">
        <v>119</v>
      </c>
      <c r="B65" s="88"/>
      <c r="C65" s="105"/>
      <c r="D65" s="105"/>
      <c r="E65" s="108"/>
      <c r="F65" s="105"/>
    </row>
    <row r="66" spans="1:6" ht="18.75">
      <c r="A66" s="3" t="s">
        <v>119</v>
      </c>
      <c r="B66" s="88"/>
      <c r="C66" s="105"/>
      <c r="D66" s="105"/>
      <c r="E66" s="108"/>
      <c r="F66" s="105"/>
    </row>
    <row r="67" spans="1:6" ht="18.75">
      <c r="A67" s="3" t="s">
        <v>119</v>
      </c>
      <c r="B67" s="88"/>
      <c r="C67" s="105"/>
      <c r="D67" s="105"/>
      <c r="E67" s="108"/>
      <c r="F67" s="105"/>
    </row>
    <row r="68" spans="1:6" ht="18.75">
      <c r="A68" s="3" t="s">
        <v>119</v>
      </c>
      <c r="B68" s="88"/>
      <c r="C68" s="105"/>
      <c r="D68" s="105"/>
      <c r="E68" s="108"/>
      <c r="F68" s="105"/>
    </row>
    <row r="69" spans="1:6" ht="18.75">
      <c r="A69" s="3" t="s">
        <v>119</v>
      </c>
      <c r="B69" s="88"/>
      <c r="C69" s="105"/>
      <c r="D69" s="105"/>
      <c r="E69" s="108"/>
      <c r="F69" s="105"/>
    </row>
    <row r="70" spans="1:6" ht="18.75">
      <c r="A70" s="3" t="s">
        <v>119</v>
      </c>
      <c r="B70" s="88"/>
      <c r="C70" s="105"/>
      <c r="D70" s="105"/>
      <c r="E70" s="108"/>
      <c r="F70" s="105"/>
    </row>
    <row r="71" spans="1:6" ht="18.75">
      <c r="A71" s="3" t="s">
        <v>119</v>
      </c>
      <c r="B71" s="88"/>
      <c r="C71" s="105"/>
      <c r="D71" s="105"/>
      <c r="E71" s="108"/>
      <c r="F71" s="105"/>
    </row>
    <row r="72" spans="1:6" ht="18.75">
      <c r="A72" s="3" t="s">
        <v>119</v>
      </c>
      <c r="B72" s="88"/>
      <c r="C72" s="105"/>
      <c r="D72" s="105"/>
      <c r="E72" s="108"/>
      <c r="F72" s="105"/>
    </row>
    <row r="73" spans="1:6" ht="18.75">
      <c r="A73" s="3" t="s">
        <v>119</v>
      </c>
      <c r="B73" s="88"/>
      <c r="C73" s="105"/>
      <c r="D73" s="105"/>
      <c r="E73" s="108"/>
      <c r="F73" s="105"/>
    </row>
    <row r="74" spans="1:6" ht="18.75">
      <c r="A74" s="3" t="s">
        <v>119</v>
      </c>
      <c r="B74" s="88"/>
      <c r="C74" s="105"/>
      <c r="D74" s="105"/>
      <c r="E74" s="108"/>
      <c r="F74" s="105"/>
    </row>
    <row r="75" spans="1:6" ht="18.75">
      <c r="A75" s="3" t="s">
        <v>119</v>
      </c>
      <c r="B75" s="88"/>
      <c r="C75" s="105"/>
      <c r="D75" s="105"/>
      <c r="E75" s="108"/>
      <c r="F75" s="105"/>
    </row>
    <row r="76" spans="1:6" ht="18.75">
      <c r="A76" s="3" t="s">
        <v>119</v>
      </c>
      <c r="B76" s="88"/>
      <c r="C76" s="105"/>
      <c r="D76" s="105"/>
      <c r="E76" s="108"/>
      <c r="F76" s="105"/>
    </row>
    <row r="77" spans="1:6" ht="18.75">
      <c r="A77" s="3" t="s">
        <v>119</v>
      </c>
      <c r="B77" s="88"/>
      <c r="C77" s="105"/>
      <c r="D77" s="105"/>
      <c r="E77" s="108"/>
      <c r="F77" s="105"/>
    </row>
    <row r="78" spans="1:6" ht="18.75">
      <c r="A78" s="3" t="s">
        <v>119</v>
      </c>
      <c r="B78" s="88"/>
      <c r="C78" s="105"/>
      <c r="D78" s="105"/>
      <c r="E78" s="108"/>
      <c r="F78" s="105"/>
    </row>
    <row r="79" spans="1:6" ht="18.75">
      <c r="A79" s="3" t="s">
        <v>119</v>
      </c>
      <c r="B79" s="88"/>
      <c r="C79" s="105"/>
      <c r="D79" s="105"/>
      <c r="E79" s="108"/>
      <c r="F79" s="105"/>
    </row>
    <row r="80" spans="1:6" ht="18.75">
      <c r="A80" s="3" t="s">
        <v>119</v>
      </c>
      <c r="B80" s="88"/>
      <c r="C80" s="105"/>
      <c r="D80" s="105"/>
      <c r="E80" s="108"/>
      <c r="F80" s="105"/>
    </row>
    <row r="81" spans="1:6" ht="18.75">
      <c r="A81" s="3" t="s">
        <v>119</v>
      </c>
      <c r="B81" s="88"/>
      <c r="C81" s="105"/>
      <c r="D81" s="105"/>
      <c r="E81" s="108"/>
      <c r="F81" s="105"/>
    </row>
    <row r="82" spans="1:6" ht="18.75">
      <c r="A82" s="3" t="s">
        <v>119</v>
      </c>
      <c r="B82" s="88"/>
      <c r="C82" s="105"/>
      <c r="D82" s="105"/>
      <c r="E82" s="108"/>
      <c r="F82" s="105"/>
    </row>
    <row r="83" spans="1:6" ht="18.75">
      <c r="A83" s="3" t="s">
        <v>119</v>
      </c>
      <c r="B83" s="88"/>
      <c r="C83" s="105"/>
      <c r="D83" s="105"/>
      <c r="E83" s="108"/>
      <c r="F83" s="105"/>
    </row>
    <row r="84" spans="1:6" ht="18.75">
      <c r="A84" s="3" t="s">
        <v>119</v>
      </c>
      <c r="B84" s="88"/>
      <c r="C84" s="105"/>
      <c r="D84" s="105"/>
      <c r="E84" s="108"/>
      <c r="F84" s="105"/>
    </row>
    <row r="85" spans="1:6" ht="18.75">
      <c r="A85" s="3" t="s">
        <v>119</v>
      </c>
      <c r="B85" s="88"/>
      <c r="C85" s="105"/>
      <c r="D85" s="105"/>
      <c r="E85" s="108"/>
      <c r="F85" s="105"/>
    </row>
    <row r="86" spans="1:6" ht="18.75">
      <c r="A86" s="3" t="s">
        <v>119</v>
      </c>
      <c r="B86" s="88"/>
      <c r="C86" s="105"/>
      <c r="D86" s="105"/>
      <c r="E86" s="108"/>
      <c r="F86" s="105"/>
    </row>
    <row r="87" spans="1:6" ht="18.75">
      <c r="A87" s="3" t="s">
        <v>119</v>
      </c>
      <c r="B87" s="88"/>
      <c r="C87" s="105"/>
      <c r="D87" s="105"/>
      <c r="E87" s="108"/>
      <c r="F87" s="105"/>
    </row>
    <row r="88" spans="1:6" ht="18.75">
      <c r="A88" s="3" t="s">
        <v>119</v>
      </c>
      <c r="B88" s="88"/>
      <c r="C88" s="105"/>
      <c r="D88" s="105"/>
      <c r="E88" s="108"/>
      <c r="F88" s="105"/>
    </row>
    <row r="89" spans="1:6" ht="18.75">
      <c r="A89" s="3" t="s">
        <v>119</v>
      </c>
      <c r="B89" s="88"/>
      <c r="C89" s="105"/>
      <c r="D89" s="105"/>
      <c r="E89" s="108"/>
      <c r="F89" s="105"/>
    </row>
    <row r="90" spans="1:6" ht="18.75">
      <c r="A90" s="3" t="s">
        <v>119</v>
      </c>
      <c r="B90" s="88"/>
      <c r="C90" s="105"/>
      <c r="D90" s="105"/>
      <c r="E90" s="108"/>
      <c r="F90" s="105"/>
    </row>
    <row r="91" spans="1:6" ht="18.75">
      <c r="A91" s="3" t="s">
        <v>119</v>
      </c>
      <c r="B91" s="88"/>
      <c r="C91" s="105"/>
      <c r="D91" s="105"/>
      <c r="E91" s="108"/>
      <c r="F91" s="105"/>
    </row>
    <row r="92" spans="1:6" ht="18.75">
      <c r="A92" s="3" t="s">
        <v>119</v>
      </c>
      <c r="B92" s="88"/>
      <c r="C92" s="105"/>
      <c r="D92" s="105"/>
      <c r="E92" s="108"/>
      <c r="F92" s="105"/>
    </row>
    <row r="93" spans="1:6" ht="18.75">
      <c r="A93" s="3" t="s">
        <v>119</v>
      </c>
      <c r="B93" s="88"/>
      <c r="C93" s="105"/>
      <c r="D93" s="105"/>
      <c r="E93" s="108"/>
      <c r="F93" s="105"/>
    </row>
    <row r="94" spans="1:6" ht="18.75">
      <c r="A94" s="3" t="s">
        <v>119</v>
      </c>
      <c r="B94" s="88"/>
      <c r="C94" s="105"/>
      <c r="D94" s="105"/>
      <c r="E94" s="108"/>
      <c r="F94" s="105"/>
    </row>
    <row r="95" spans="1:6" ht="18.75">
      <c r="A95" s="3" t="s">
        <v>119</v>
      </c>
      <c r="B95" s="88"/>
      <c r="C95" s="105"/>
      <c r="D95" s="105"/>
      <c r="E95" s="108"/>
      <c r="F95" s="105"/>
    </row>
    <row r="96" spans="1:6" ht="18.75">
      <c r="A96" s="3" t="s">
        <v>119</v>
      </c>
      <c r="B96" s="88"/>
      <c r="C96" s="105"/>
      <c r="D96" s="105"/>
      <c r="E96" s="108"/>
      <c r="F96" s="105"/>
    </row>
    <row r="97" spans="1:6" ht="18.75">
      <c r="A97" s="3" t="s">
        <v>119</v>
      </c>
      <c r="B97" s="88"/>
      <c r="C97" s="105"/>
      <c r="D97" s="105"/>
      <c r="E97" s="108"/>
      <c r="F97" s="105"/>
    </row>
    <row r="98" spans="1:6" ht="18.75">
      <c r="A98" s="3" t="s">
        <v>119</v>
      </c>
      <c r="B98" s="88"/>
      <c r="C98" s="105"/>
      <c r="D98" s="105"/>
      <c r="E98" s="108"/>
      <c r="F98" s="105"/>
    </row>
    <row r="99" spans="1:6" ht="18.75">
      <c r="A99" s="3" t="s">
        <v>119</v>
      </c>
      <c r="B99" s="88"/>
      <c r="C99" s="105"/>
      <c r="D99" s="105"/>
      <c r="E99" s="108"/>
      <c r="F99" s="105"/>
    </row>
    <row r="100" spans="1:6" ht="18.75">
      <c r="A100" s="3" t="s">
        <v>119</v>
      </c>
      <c r="B100" s="88"/>
      <c r="C100" s="105"/>
      <c r="D100" s="105"/>
      <c r="E100" s="108"/>
      <c r="F100" s="105"/>
    </row>
    <row r="101" spans="1:6" ht="18.75">
      <c r="A101" s="3" t="s">
        <v>119</v>
      </c>
      <c r="B101" s="88"/>
      <c r="C101" s="105"/>
      <c r="D101" s="105"/>
      <c r="E101" s="108"/>
      <c r="F101" s="105"/>
    </row>
    <row r="102" spans="1:6" ht="18.75">
      <c r="A102" s="3" t="s">
        <v>119</v>
      </c>
      <c r="B102" s="88"/>
      <c r="C102" s="105"/>
      <c r="D102" s="105"/>
      <c r="E102" s="108"/>
      <c r="F102" s="105"/>
    </row>
    <row r="103" spans="1:6" ht="18.75">
      <c r="A103" s="3" t="s">
        <v>119</v>
      </c>
      <c r="B103" s="88"/>
      <c r="C103" s="105"/>
      <c r="D103" s="105"/>
      <c r="E103" s="108"/>
      <c r="F103" s="105"/>
    </row>
    <row r="104" spans="1:6" ht="18.75">
      <c r="A104" s="3" t="s">
        <v>119</v>
      </c>
      <c r="B104" s="88"/>
      <c r="C104" s="105"/>
      <c r="D104" s="105"/>
      <c r="E104" s="108"/>
      <c r="F104" s="105"/>
    </row>
    <row r="105" spans="1:6" ht="18.75">
      <c r="A105" s="3" t="s">
        <v>119</v>
      </c>
      <c r="B105" s="88"/>
      <c r="C105" s="105"/>
      <c r="D105" s="105"/>
      <c r="E105" s="108"/>
      <c r="F105" s="105"/>
    </row>
    <row r="106" spans="1:6" ht="18.75">
      <c r="A106" s="3" t="s">
        <v>119</v>
      </c>
      <c r="B106" s="88"/>
      <c r="C106" s="105"/>
      <c r="D106" s="105"/>
      <c r="E106" s="108"/>
      <c r="F106" s="105"/>
    </row>
    <row r="107" spans="1:6" ht="18.75">
      <c r="A107" s="3" t="s">
        <v>119</v>
      </c>
      <c r="B107" s="88"/>
      <c r="C107" s="105"/>
      <c r="D107" s="105"/>
      <c r="E107" s="108"/>
      <c r="F107" s="105"/>
    </row>
    <row r="108" spans="1:6" ht="18.75">
      <c r="A108" s="3" t="s">
        <v>119</v>
      </c>
      <c r="B108" s="88"/>
      <c r="C108" s="105"/>
      <c r="D108" s="105"/>
      <c r="E108" s="108"/>
      <c r="F108" s="105"/>
    </row>
    <row r="109" spans="1:6" ht="18.75">
      <c r="A109" s="3" t="s">
        <v>119</v>
      </c>
      <c r="B109" s="88"/>
      <c r="C109" s="105"/>
      <c r="D109" s="105"/>
      <c r="E109" s="108"/>
      <c r="F109" s="105"/>
    </row>
    <row r="110" spans="1:6" ht="18.75">
      <c r="A110" s="3" t="s">
        <v>119</v>
      </c>
      <c r="B110" s="88"/>
      <c r="C110" s="105"/>
      <c r="D110" s="105"/>
      <c r="E110" s="108"/>
      <c r="F110" s="105"/>
    </row>
    <row r="111" spans="1:6" ht="18.75">
      <c r="A111" s="3" t="s">
        <v>119</v>
      </c>
      <c r="B111" s="88"/>
      <c r="C111" s="105"/>
      <c r="D111" s="105"/>
      <c r="E111" s="108"/>
      <c r="F111" s="105"/>
    </row>
    <row r="112" spans="1:6" ht="18.75">
      <c r="A112" s="3" t="s">
        <v>119</v>
      </c>
      <c r="B112" s="88"/>
      <c r="C112" s="105"/>
      <c r="D112" s="105"/>
      <c r="E112" s="108"/>
      <c r="F112" s="105"/>
    </row>
    <row r="113" spans="1:6" ht="18.75">
      <c r="A113" s="3" t="s">
        <v>119</v>
      </c>
      <c r="B113" s="88"/>
      <c r="C113" s="105"/>
      <c r="D113" s="105"/>
      <c r="E113" s="108"/>
      <c r="F113" s="105"/>
    </row>
    <row r="114" spans="1:6" ht="18.75">
      <c r="A114" s="3" t="s">
        <v>119</v>
      </c>
      <c r="B114" s="88"/>
      <c r="C114" s="105"/>
      <c r="D114" s="105"/>
      <c r="E114" s="108"/>
      <c r="F114" s="105"/>
    </row>
    <row r="115" spans="1:6" ht="18.75">
      <c r="A115" s="3" t="s">
        <v>119</v>
      </c>
      <c r="B115" s="88"/>
      <c r="C115" s="105"/>
      <c r="D115" s="105"/>
      <c r="E115" s="108"/>
      <c r="F115" s="105"/>
    </row>
    <row r="116" spans="1:6" ht="18.75">
      <c r="A116" s="3" t="s">
        <v>119</v>
      </c>
      <c r="B116" s="88"/>
      <c r="C116" s="105"/>
      <c r="D116" s="105"/>
      <c r="E116" s="108"/>
      <c r="F116" s="105"/>
    </row>
    <row r="117" spans="1:6" ht="18.75">
      <c r="A117" s="3" t="s">
        <v>119</v>
      </c>
      <c r="B117" s="88"/>
      <c r="C117" s="105"/>
      <c r="D117" s="105"/>
      <c r="E117" s="108"/>
      <c r="F117" s="105"/>
    </row>
    <row r="118" spans="1:6" ht="18.75">
      <c r="A118" s="3" t="s">
        <v>119</v>
      </c>
      <c r="B118" s="88"/>
      <c r="C118" s="105"/>
      <c r="D118" s="105"/>
      <c r="E118" s="108"/>
      <c r="F118" s="105"/>
    </row>
    <row r="119" spans="1:6" ht="18.75">
      <c r="A119" s="3" t="s">
        <v>119</v>
      </c>
      <c r="B119" s="88"/>
      <c r="C119" s="105"/>
      <c r="D119" s="105"/>
      <c r="E119" s="108"/>
      <c r="F119" s="105"/>
    </row>
    <row r="120" spans="1:6" ht="18.75">
      <c r="A120" s="3" t="s">
        <v>119</v>
      </c>
      <c r="B120" s="88"/>
      <c r="C120" s="105"/>
      <c r="D120" s="105"/>
      <c r="E120" s="108"/>
      <c r="F120" s="105"/>
    </row>
    <row r="121" spans="1:6" ht="18.75">
      <c r="A121" s="3" t="s">
        <v>119</v>
      </c>
      <c r="B121" s="88"/>
      <c r="C121" s="105"/>
      <c r="D121" s="105"/>
      <c r="E121" s="108"/>
      <c r="F121" s="105"/>
    </row>
    <row r="122" spans="1:6" ht="18.75">
      <c r="A122" s="3" t="s">
        <v>119</v>
      </c>
      <c r="B122" s="88"/>
      <c r="C122" s="105"/>
      <c r="D122" s="105"/>
      <c r="E122" s="108"/>
      <c r="F122" s="105"/>
    </row>
    <row r="123" spans="1:6" ht="18.75">
      <c r="A123" s="3" t="s">
        <v>119</v>
      </c>
      <c r="B123" s="88"/>
      <c r="C123" s="105"/>
      <c r="D123" s="105"/>
      <c r="E123" s="108"/>
      <c r="F123" s="105"/>
    </row>
    <row r="124" spans="1:6" ht="18.75">
      <c r="A124" s="3" t="s">
        <v>119</v>
      </c>
      <c r="B124" s="88"/>
      <c r="C124" s="105"/>
      <c r="D124" s="105"/>
      <c r="E124" s="108"/>
      <c r="F124" s="105"/>
    </row>
    <row r="125" spans="1:6" ht="18.75">
      <c r="A125" s="3" t="s">
        <v>119</v>
      </c>
      <c r="B125" s="88"/>
      <c r="C125" s="105"/>
      <c r="D125" s="105"/>
      <c r="E125" s="108"/>
      <c r="F125" s="105"/>
    </row>
    <row r="126" spans="1:6" ht="18.75">
      <c r="A126" s="3" t="s">
        <v>119</v>
      </c>
      <c r="B126" s="88"/>
      <c r="C126" s="105"/>
      <c r="D126" s="105"/>
      <c r="E126" s="108"/>
      <c r="F126" s="105"/>
    </row>
    <row r="127" spans="1:6" ht="18.75">
      <c r="A127" s="3" t="s">
        <v>119</v>
      </c>
      <c r="B127" s="88"/>
      <c r="C127" s="105"/>
      <c r="D127" s="105"/>
      <c r="E127" s="108"/>
      <c r="F127" s="105"/>
    </row>
    <row r="128" spans="1:6" ht="18.75">
      <c r="A128" s="3" t="s">
        <v>119</v>
      </c>
      <c r="B128" s="88"/>
      <c r="C128" s="105"/>
      <c r="D128" s="105"/>
      <c r="E128" s="108"/>
      <c r="F128" s="105"/>
    </row>
    <row r="129" spans="1:6" ht="18.75">
      <c r="A129" s="3" t="s">
        <v>119</v>
      </c>
      <c r="B129" s="88"/>
      <c r="C129" s="105"/>
      <c r="D129" s="105"/>
      <c r="E129" s="108"/>
      <c r="F129" s="105"/>
    </row>
    <row r="130" spans="1:6" ht="18.75">
      <c r="A130" s="3" t="s">
        <v>119</v>
      </c>
      <c r="B130" s="88"/>
      <c r="C130" s="105"/>
      <c r="D130" s="105"/>
      <c r="E130" s="108"/>
      <c r="F130" s="105"/>
    </row>
    <row r="131" spans="1:6" ht="18.75">
      <c r="A131" s="3" t="s">
        <v>119</v>
      </c>
      <c r="B131" s="88"/>
      <c r="C131" s="105"/>
      <c r="D131" s="105"/>
      <c r="E131" s="108"/>
      <c r="F131" s="105"/>
    </row>
    <row r="132" spans="1:6" ht="18.75">
      <c r="A132" s="3" t="s">
        <v>119</v>
      </c>
      <c r="B132" s="88"/>
      <c r="C132" s="105"/>
      <c r="D132" s="105"/>
      <c r="E132" s="108"/>
      <c r="F132" s="105"/>
    </row>
    <row r="133" spans="1:6" ht="18.75">
      <c r="A133" s="3" t="s">
        <v>119</v>
      </c>
      <c r="B133" s="88"/>
      <c r="C133" s="105"/>
      <c r="D133" s="105"/>
      <c r="E133" s="108"/>
      <c r="F133" s="105"/>
    </row>
    <row r="134" spans="1:6" ht="18.75">
      <c r="A134" s="3" t="s">
        <v>119</v>
      </c>
      <c r="B134" s="88"/>
      <c r="C134" s="105"/>
      <c r="D134" s="105"/>
      <c r="E134" s="108"/>
      <c r="F134" s="105"/>
    </row>
    <row r="135" spans="1:6" ht="18.75">
      <c r="A135" s="3" t="s">
        <v>119</v>
      </c>
      <c r="B135" s="88"/>
      <c r="C135" s="105"/>
      <c r="D135" s="105"/>
      <c r="E135" s="108"/>
      <c r="F135" s="105"/>
    </row>
    <row r="136" spans="1:6" ht="18.75">
      <c r="A136" s="3" t="s">
        <v>119</v>
      </c>
      <c r="B136" s="88"/>
      <c r="C136" s="105"/>
      <c r="D136" s="105"/>
      <c r="E136" s="108"/>
      <c r="F136" s="105"/>
    </row>
    <row r="137" spans="1:6" ht="18.75">
      <c r="A137" s="3" t="s">
        <v>119</v>
      </c>
      <c r="B137" s="88"/>
      <c r="C137" s="105"/>
      <c r="D137" s="105"/>
      <c r="E137" s="108"/>
      <c r="F137" s="105"/>
    </row>
    <row r="138" spans="1:6" ht="18.75">
      <c r="A138" s="3" t="s">
        <v>119</v>
      </c>
      <c r="B138" s="88"/>
      <c r="C138" s="105"/>
      <c r="D138" s="105"/>
      <c r="E138" s="108"/>
      <c r="F138" s="105"/>
    </row>
    <row r="139" spans="1:6" ht="18.75">
      <c r="A139" s="3" t="s">
        <v>119</v>
      </c>
      <c r="B139" s="88"/>
      <c r="C139" s="105"/>
      <c r="D139" s="105"/>
      <c r="E139" s="108"/>
      <c r="F139" s="105"/>
    </row>
    <row r="140" spans="1:6" ht="18.75">
      <c r="A140" s="3" t="s">
        <v>119</v>
      </c>
      <c r="B140" s="88"/>
      <c r="C140" s="105"/>
      <c r="D140" s="105"/>
      <c r="E140" s="108"/>
      <c r="F140" s="105"/>
    </row>
    <row r="141" spans="1:6" ht="18.75">
      <c r="A141" s="3" t="s">
        <v>119</v>
      </c>
      <c r="B141" s="88"/>
      <c r="C141" s="105"/>
      <c r="D141" s="105"/>
      <c r="E141" s="108"/>
      <c r="F141" s="105"/>
    </row>
    <row r="142" spans="1:6" ht="18.75">
      <c r="A142" s="3" t="s">
        <v>119</v>
      </c>
      <c r="B142" s="88"/>
      <c r="C142" s="105"/>
      <c r="D142" s="105"/>
      <c r="E142" s="108"/>
      <c r="F142" s="105"/>
    </row>
    <row r="143" spans="1:6" ht="18.75">
      <c r="A143" s="3" t="s">
        <v>119</v>
      </c>
      <c r="B143" s="88"/>
      <c r="C143" s="105"/>
      <c r="D143" s="105"/>
      <c r="E143" s="108"/>
      <c r="F143" s="105"/>
    </row>
    <row r="144" spans="1:6" ht="18.75">
      <c r="A144" s="3" t="s">
        <v>119</v>
      </c>
      <c r="B144" s="88"/>
      <c r="C144" s="105"/>
      <c r="D144" s="105"/>
      <c r="E144" s="108"/>
      <c r="F144" s="105"/>
    </row>
    <row r="145" spans="1:6" ht="18.75">
      <c r="A145" s="3" t="s">
        <v>119</v>
      </c>
      <c r="B145" s="88"/>
      <c r="C145" s="105"/>
      <c r="D145" s="105"/>
      <c r="E145" s="108"/>
      <c r="F145" s="105"/>
    </row>
    <row r="146" spans="1:6" ht="18.75">
      <c r="A146" s="3" t="s">
        <v>119</v>
      </c>
      <c r="B146" s="88"/>
      <c r="C146" s="105"/>
      <c r="D146" s="105"/>
      <c r="E146" s="108"/>
      <c r="F146" s="105"/>
    </row>
    <row r="147" spans="1:6" ht="18.75">
      <c r="A147" s="3" t="s">
        <v>119</v>
      </c>
      <c r="B147" s="88"/>
      <c r="C147" s="105"/>
      <c r="D147" s="105"/>
      <c r="E147" s="108"/>
      <c r="F147" s="105"/>
    </row>
    <row r="148" spans="1:6" ht="18.75">
      <c r="A148" s="3" t="s">
        <v>119</v>
      </c>
      <c r="B148" s="88"/>
      <c r="C148" s="105"/>
      <c r="D148" s="105"/>
      <c r="E148" s="108"/>
      <c r="F148" s="105"/>
    </row>
    <row r="149" spans="1:6" ht="18.75">
      <c r="A149" s="3" t="s">
        <v>119</v>
      </c>
      <c r="B149" s="88"/>
      <c r="C149" s="105"/>
      <c r="D149" s="105"/>
      <c r="E149" s="108"/>
      <c r="F149" s="105"/>
    </row>
    <row r="150" spans="1:6" ht="18.75">
      <c r="A150" s="3" t="s">
        <v>119</v>
      </c>
      <c r="B150" s="88"/>
      <c r="C150" s="105"/>
      <c r="D150" s="105"/>
      <c r="E150" s="108"/>
      <c r="F150" s="105"/>
    </row>
    <row r="151" spans="1:6" ht="18.75">
      <c r="A151" s="3" t="s">
        <v>119</v>
      </c>
      <c r="B151" s="88"/>
      <c r="C151" s="105"/>
      <c r="D151" s="105"/>
      <c r="E151" s="108"/>
      <c r="F151" s="105"/>
    </row>
    <row r="152" spans="1:6" ht="18.75">
      <c r="A152" s="3" t="s">
        <v>119</v>
      </c>
      <c r="B152" s="88"/>
      <c r="C152" s="105"/>
      <c r="D152" s="105"/>
      <c r="E152" s="108"/>
      <c r="F152" s="105"/>
    </row>
    <row r="153" spans="1:6" ht="18.75">
      <c r="A153" s="3" t="s">
        <v>119</v>
      </c>
      <c r="B153" s="88"/>
      <c r="C153" s="105"/>
      <c r="D153" s="105"/>
      <c r="E153" s="108"/>
      <c r="F153" s="105"/>
    </row>
    <row r="154" spans="1:6" ht="18.75">
      <c r="A154" s="3" t="s">
        <v>119</v>
      </c>
      <c r="B154" s="88"/>
      <c r="C154" s="105"/>
      <c r="D154" s="105"/>
      <c r="E154" s="108"/>
      <c r="F154" s="105"/>
    </row>
    <row r="155" spans="1:6" ht="18.75">
      <c r="A155" s="3" t="s">
        <v>119</v>
      </c>
      <c r="B155" s="88"/>
      <c r="C155" s="105"/>
      <c r="D155" s="105"/>
      <c r="E155" s="108"/>
      <c r="F155" s="105"/>
    </row>
    <row r="156" spans="1:6" ht="18.75">
      <c r="A156" s="3" t="s">
        <v>119</v>
      </c>
      <c r="B156" s="88"/>
      <c r="C156" s="105"/>
      <c r="D156" s="105"/>
      <c r="E156" s="108"/>
      <c r="F156" s="105"/>
    </row>
    <row r="157" spans="1:6" ht="18.75">
      <c r="A157" s="3" t="s">
        <v>119</v>
      </c>
      <c r="B157" s="88"/>
      <c r="C157" s="105"/>
      <c r="D157" s="105"/>
      <c r="E157" s="108"/>
      <c r="F157" s="105"/>
    </row>
    <row r="158" spans="1:6" ht="18.75">
      <c r="A158" s="3" t="s">
        <v>119</v>
      </c>
      <c r="B158" s="88"/>
      <c r="C158" s="105"/>
      <c r="D158" s="105"/>
      <c r="E158" s="108"/>
      <c r="F158" s="105"/>
    </row>
    <row r="159" spans="1:6" ht="18.75">
      <c r="A159" s="3" t="s">
        <v>119</v>
      </c>
      <c r="B159" s="88"/>
      <c r="C159" s="105"/>
      <c r="D159" s="105"/>
      <c r="E159" s="108"/>
      <c r="F159" s="105"/>
    </row>
    <row r="160" spans="1:6" ht="18.75">
      <c r="A160" s="3" t="s">
        <v>119</v>
      </c>
      <c r="B160" s="88"/>
      <c r="C160" s="105"/>
      <c r="D160" s="105"/>
      <c r="E160" s="108"/>
      <c r="F160" s="105"/>
    </row>
    <row r="161" spans="1:6" ht="18.75">
      <c r="A161" s="3" t="s">
        <v>119</v>
      </c>
      <c r="B161" s="88"/>
      <c r="C161" s="105"/>
      <c r="D161" s="105"/>
      <c r="E161" s="108"/>
      <c r="F161" s="105"/>
    </row>
    <row r="162" spans="1:6" ht="18.75">
      <c r="A162" s="3" t="s">
        <v>119</v>
      </c>
      <c r="B162" s="88"/>
      <c r="C162" s="105"/>
      <c r="D162" s="105"/>
      <c r="E162" s="108"/>
      <c r="F162" s="105"/>
    </row>
    <row r="163" spans="1:6" ht="18.75">
      <c r="A163" s="3" t="s">
        <v>119</v>
      </c>
      <c r="B163" s="88"/>
      <c r="C163" s="105"/>
      <c r="D163" s="105"/>
      <c r="E163" s="108"/>
      <c r="F163" s="105"/>
    </row>
    <row r="164" spans="1:6" ht="18.75">
      <c r="A164" s="3" t="s">
        <v>119</v>
      </c>
      <c r="B164" s="88"/>
      <c r="C164" s="105"/>
      <c r="D164" s="105"/>
      <c r="E164" s="108"/>
      <c r="F164" s="105"/>
    </row>
    <row r="165" spans="1:6" ht="18.75">
      <c r="A165" s="3" t="s">
        <v>119</v>
      </c>
      <c r="B165" s="88"/>
      <c r="C165" s="105"/>
      <c r="D165" s="105"/>
      <c r="E165" s="108"/>
      <c r="F165" s="105"/>
    </row>
    <row r="166" spans="1:6" ht="18.75">
      <c r="A166" s="3" t="s">
        <v>119</v>
      </c>
      <c r="B166" s="88"/>
      <c r="C166" s="105"/>
      <c r="D166" s="105"/>
      <c r="E166" s="108"/>
      <c r="F166" s="105"/>
    </row>
    <row r="167" spans="1:6" ht="18.75">
      <c r="A167" s="3" t="s">
        <v>119</v>
      </c>
      <c r="B167" s="88"/>
      <c r="C167" s="105"/>
      <c r="D167" s="105"/>
      <c r="E167" s="108"/>
      <c r="F167" s="105"/>
    </row>
    <row r="168" spans="1:6" ht="18.75">
      <c r="A168" s="3" t="s">
        <v>119</v>
      </c>
      <c r="B168" s="88"/>
      <c r="C168" s="105"/>
      <c r="D168" s="105"/>
      <c r="E168" s="108"/>
      <c r="F168" s="105"/>
    </row>
    <row r="169" spans="1:6" ht="18.75">
      <c r="A169" s="3" t="s">
        <v>119</v>
      </c>
      <c r="B169" s="88"/>
      <c r="C169" s="105"/>
      <c r="D169" s="105"/>
      <c r="E169" s="108"/>
      <c r="F169" s="105"/>
    </row>
    <row r="170" spans="1:6" ht="18.75">
      <c r="A170" s="3" t="s">
        <v>119</v>
      </c>
      <c r="B170" s="88"/>
      <c r="C170" s="105"/>
      <c r="D170" s="105"/>
      <c r="E170" s="108"/>
      <c r="F170" s="105"/>
    </row>
    <row r="171" spans="1:6" ht="18.75">
      <c r="A171" s="3" t="s">
        <v>119</v>
      </c>
      <c r="B171" s="88"/>
      <c r="C171" s="105"/>
      <c r="D171" s="105"/>
      <c r="E171" s="108"/>
      <c r="F171" s="105"/>
    </row>
    <row r="172" spans="1:6" ht="18.75">
      <c r="A172" s="3" t="s">
        <v>119</v>
      </c>
      <c r="B172" s="88"/>
      <c r="C172" s="105"/>
      <c r="D172" s="105"/>
      <c r="E172" s="108"/>
      <c r="F172" s="105"/>
    </row>
    <row r="173" spans="1:6" ht="18.75">
      <c r="A173" s="3" t="s">
        <v>119</v>
      </c>
      <c r="B173" s="88"/>
      <c r="C173" s="105"/>
      <c r="D173" s="105"/>
      <c r="E173" s="108"/>
      <c r="F173" s="105"/>
    </row>
    <row r="174" spans="1:6" ht="18.75">
      <c r="A174" s="3" t="s">
        <v>119</v>
      </c>
      <c r="B174" s="88"/>
      <c r="C174" s="105"/>
      <c r="D174" s="105"/>
      <c r="E174" s="108"/>
      <c r="F174" s="105"/>
    </row>
    <row r="175" spans="1:6" ht="18.75">
      <c r="A175" s="3" t="s">
        <v>119</v>
      </c>
      <c r="B175" s="88"/>
      <c r="C175" s="105"/>
      <c r="D175" s="105"/>
      <c r="E175" s="108"/>
      <c r="F175" s="105"/>
    </row>
    <row r="176" spans="1:6" ht="18.75">
      <c r="A176" s="3" t="s">
        <v>119</v>
      </c>
      <c r="B176" s="88"/>
      <c r="C176" s="105"/>
      <c r="D176" s="105"/>
      <c r="E176" s="108"/>
      <c r="F176" s="105"/>
    </row>
    <row r="177" spans="1:6" ht="18.75">
      <c r="A177" s="3" t="s">
        <v>119</v>
      </c>
      <c r="B177" s="88"/>
      <c r="C177" s="105"/>
      <c r="D177" s="105"/>
      <c r="E177" s="108"/>
      <c r="F177" s="105"/>
    </row>
    <row r="178" spans="1:6" ht="18.75">
      <c r="A178" s="3" t="s">
        <v>119</v>
      </c>
      <c r="B178" s="88"/>
      <c r="C178" s="105"/>
      <c r="D178" s="105"/>
      <c r="E178" s="108"/>
      <c r="F178" s="105"/>
    </row>
    <row r="179" spans="1:6" ht="18.75">
      <c r="A179" s="3" t="s">
        <v>119</v>
      </c>
      <c r="B179" s="88"/>
      <c r="C179" s="105"/>
      <c r="D179" s="105"/>
      <c r="E179" s="108"/>
      <c r="F179" s="105"/>
    </row>
    <row r="180" spans="1:6" ht="18.75">
      <c r="A180" s="3" t="s">
        <v>119</v>
      </c>
      <c r="B180" s="88"/>
      <c r="C180" s="105"/>
      <c r="D180" s="105"/>
      <c r="E180" s="108"/>
      <c r="F180" s="105"/>
    </row>
    <row r="181" spans="1:6" ht="18.75">
      <c r="A181" s="3" t="s">
        <v>119</v>
      </c>
      <c r="B181" s="88"/>
      <c r="C181" s="105"/>
      <c r="D181" s="105"/>
      <c r="E181" s="108"/>
      <c r="F181" s="105"/>
    </row>
    <row r="182" spans="1:6" ht="18.75">
      <c r="A182" s="3" t="s">
        <v>119</v>
      </c>
      <c r="B182" s="88"/>
      <c r="C182" s="105"/>
      <c r="D182" s="105"/>
      <c r="E182" s="108"/>
      <c r="F182" s="105"/>
    </row>
    <row r="183" spans="1:6" ht="18.75">
      <c r="A183" s="3" t="s">
        <v>119</v>
      </c>
      <c r="B183" s="88"/>
      <c r="C183" s="105"/>
      <c r="D183" s="105"/>
      <c r="E183" s="108"/>
      <c r="F183" s="105"/>
    </row>
    <row r="184" spans="1:6" ht="18.75">
      <c r="A184" s="3" t="s">
        <v>119</v>
      </c>
      <c r="B184" s="88"/>
      <c r="C184" s="105"/>
      <c r="D184" s="105"/>
      <c r="E184" s="108"/>
      <c r="F184" s="105"/>
    </row>
    <row r="185" spans="1:6" ht="18.75">
      <c r="A185" s="3" t="s">
        <v>119</v>
      </c>
      <c r="B185" s="88"/>
      <c r="C185" s="105"/>
      <c r="D185" s="105"/>
      <c r="E185" s="108"/>
      <c r="F185" s="105"/>
    </row>
    <row r="186" spans="1:6" ht="18.75">
      <c r="A186" s="3" t="s">
        <v>119</v>
      </c>
      <c r="B186" s="88"/>
      <c r="C186" s="105"/>
      <c r="D186" s="105"/>
      <c r="E186" s="108"/>
      <c r="F186" s="105"/>
    </row>
    <row r="187" spans="1:6" ht="18.75">
      <c r="A187" s="3" t="s">
        <v>119</v>
      </c>
      <c r="B187" s="88"/>
      <c r="C187" s="105"/>
      <c r="D187" s="105"/>
      <c r="E187" s="108"/>
      <c r="F187" s="105"/>
    </row>
    <row r="188" spans="1:6" ht="18.75">
      <c r="A188" s="3" t="s">
        <v>119</v>
      </c>
      <c r="B188" s="88"/>
      <c r="C188" s="105"/>
      <c r="D188" s="105"/>
      <c r="E188" s="108"/>
      <c r="F188" s="105"/>
    </row>
    <row r="189" spans="1:6" ht="18.75">
      <c r="A189" s="3" t="s">
        <v>119</v>
      </c>
      <c r="B189" s="88"/>
      <c r="C189" s="105"/>
      <c r="D189" s="105"/>
      <c r="E189" s="108"/>
      <c r="F189" s="105"/>
    </row>
    <row r="190" spans="1:6" ht="18.75">
      <c r="A190" s="3" t="s">
        <v>119</v>
      </c>
      <c r="B190" s="88"/>
      <c r="C190" s="105"/>
      <c r="D190" s="105"/>
      <c r="E190" s="108"/>
      <c r="F190" s="105"/>
    </row>
    <row r="191" spans="1:6" ht="18.75">
      <c r="A191" s="3" t="s">
        <v>119</v>
      </c>
      <c r="B191" s="88"/>
      <c r="C191" s="105"/>
      <c r="D191" s="105"/>
      <c r="E191" s="108"/>
      <c r="F191" s="105"/>
    </row>
    <row r="192" spans="1:6" ht="18.75">
      <c r="A192" s="3" t="s">
        <v>119</v>
      </c>
      <c r="B192" s="88"/>
      <c r="C192" s="105"/>
      <c r="D192" s="105"/>
      <c r="E192" s="108"/>
      <c r="F192" s="105"/>
    </row>
    <row r="193" spans="1:6" ht="18.75">
      <c r="A193" s="3" t="s">
        <v>119</v>
      </c>
      <c r="B193" s="88"/>
      <c r="C193" s="105"/>
      <c r="D193" s="105"/>
      <c r="E193" s="108"/>
      <c r="F193" s="105"/>
    </row>
    <row r="194" spans="1:6" ht="18.75">
      <c r="A194" s="3" t="s">
        <v>119</v>
      </c>
      <c r="B194" s="88"/>
      <c r="C194" s="105"/>
      <c r="D194" s="105"/>
      <c r="E194" s="108"/>
      <c r="F194" s="105"/>
    </row>
    <row r="195" spans="1:6" ht="18.75">
      <c r="A195" s="3" t="s">
        <v>119</v>
      </c>
      <c r="B195" s="88"/>
      <c r="C195" s="105"/>
      <c r="D195" s="105"/>
      <c r="E195" s="108"/>
      <c r="F195" s="105"/>
    </row>
    <row r="196" spans="1:6" ht="18.75">
      <c r="A196" s="3" t="s">
        <v>119</v>
      </c>
      <c r="B196" s="88"/>
      <c r="C196" s="105"/>
      <c r="D196" s="105"/>
      <c r="E196" s="108"/>
      <c r="F196" s="105"/>
    </row>
    <row r="197" spans="1:6" ht="18.75">
      <c r="A197" s="3" t="s">
        <v>119</v>
      </c>
      <c r="B197" s="88"/>
      <c r="C197" s="105"/>
      <c r="D197" s="105"/>
      <c r="E197" s="108"/>
      <c r="F197" s="105"/>
    </row>
    <row r="198" spans="1:6" ht="18.75">
      <c r="A198" s="3" t="s">
        <v>119</v>
      </c>
      <c r="B198" s="88"/>
      <c r="C198" s="105"/>
      <c r="D198" s="105"/>
      <c r="E198" s="108"/>
      <c r="F198" s="105"/>
    </row>
    <row r="199" spans="1:6" ht="18.75">
      <c r="A199" s="3" t="s">
        <v>119</v>
      </c>
      <c r="B199" s="88"/>
      <c r="C199" s="105"/>
      <c r="D199" s="105"/>
      <c r="E199" s="108"/>
      <c r="F199" s="105"/>
    </row>
    <row r="200" spans="1:6" ht="18.75">
      <c r="A200" s="3" t="s">
        <v>119</v>
      </c>
      <c r="B200" s="88"/>
      <c r="C200" s="105"/>
      <c r="D200" s="105"/>
      <c r="E200" s="108"/>
      <c r="F200" s="105"/>
    </row>
    <row r="201" spans="1:6" ht="18.75">
      <c r="A201" s="3" t="s">
        <v>119</v>
      </c>
      <c r="B201" s="88"/>
      <c r="C201" s="105"/>
      <c r="D201" s="105"/>
      <c r="E201" s="108"/>
      <c r="F201" s="105"/>
    </row>
    <row r="202" spans="1:6" ht="18.75">
      <c r="A202" s="3" t="s">
        <v>119</v>
      </c>
      <c r="B202" s="88"/>
      <c r="C202" s="105"/>
      <c r="D202" s="105"/>
      <c r="E202" s="108"/>
      <c r="F202" s="105"/>
    </row>
    <row r="203" spans="1:6" ht="18.75">
      <c r="A203" s="3" t="s">
        <v>119</v>
      </c>
      <c r="B203" s="88"/>
      <c r="C203" s="105"/>
      <c r="D203" s="105"/>
      <c r="E203" s="108"/>
      <c r="F203" s="105"/>
    </row>
    <row r="204" spans="1:6" ht="18.75">
      <c r="A204" s="3" t="s">
        <v>119</v>
      </c>
      <c r="B204" s="88"/>
      <c r="C204" s="105"/>
      <c r="D204" s="105"/>
      <c r="E204" s="108"/>
      <c r="F204" s="105"/>
    </row>
    <row r="205" spans="1:6" ht="18.75">
      <c r="A205" s="3" t="s">
        <v>119</v>
      </c>
      <c r="B205" s="88"/>
      <c r="C205" s="105"/>
      <c r="D205" s="105"/>
      <c r="E205" s="108"/>
      <c r="F205" s="105"/>
    </row>
    <row r="206" spans="1:6" ht="18.75">
      <c r="A206" s="3" t="s">
        <v>119</v>
      </c>
      <c r="B206" s="88"/>
      <c r="C206" s="105"/>
      <c r="D206" s="105"/>
      <c r="E206" s="108"/>
      <c r="F206" s="105"/>
    </row>
    <row r="207" spans="1:6" ht="18.75">
      <c r="A207" s="3" t="s">
        <v>119</v>
      </c>
      <c r="B207" s="88"/>
      <c r="C207" s="105"/>
      <c r="D207" s="105"/>
      <c r="E207" s="108"/>
      <c r="F207" s="105"/>
    </row>
    <row r="208" spans="1:6" ht="18.75">
      <c r="A208" s="3" t="s">
        <v>119</v>
      </c>
      <c r="B208" s="88"/>
      <c r="C208" s="105"/>
      <c r="D208" s="105"/>
      <c r="E208" s="108"/>
      <c r="F208" s="105"/>
    </row>
    <row r="209" spans="1:6" ht="18.75">
      <c r="A209" s="3" t="s">
        <v>119</v>
      </c>
      <c r="B209" s="88"/>
      <c r="C209" s="105"/>
      <c r="D209" s="105"/>
      <c r="E209" s="108"/>
      <c r="F209" s="105"/>
    </row>
    <row r="210" spans="1:6" ht="18.75">
      <c r="A210" s="3" t="s">
        <v>119</v>
      </c>
      <c r="B210" s="88"/>
      <c r="C210" s="105"/>
      <c r="D210" s="105"/>
      <c r="E210" s="108"/>
      <c r="F210" s="105"/>
    </row>
    <row r="211" spans="1:6" ht="18.75">
      <c r="A211" s="3" t="s">
        <v>119</v>
      </c>
      <c r="B211" s="88"/>
      <c r="C211" s="105"/>
      <c r="D211" s="105"/>
      <c r="E211" s="108"/>
      <c r="F211" s="105"/>
    </row>
    <row r="212" spans="1:6" ht="18.75">
      <c r="A212" s="3" t="s">
        <v>119</v>
      </c>
      <c r="B212" s="88"/>
      <c r="C212" s="105"/>
      <c r="D212" s="105"/>
      <c r="E212" s="108"/>
      <c r="F212" s="105"/>
    </row>
    <row r="213" spans="1:6" ht="18.75">
      <c r="A213" s="3" t="s">
        <v>119</v>
      </c>
      <c r="B213" s="88"/>
      <c r="C213" s="105"/>
      <c r="D213" s="105"/>
      <c r="E213" s="108"/>
      <c r="F213" s="105"/>
    </row>
    <row r="214" spans="1:6" ht="18.75">
      <c r="A214" s="3" t="s">
        <v>119</v>
      </c>
      <c r="B214" s="88"/>
      <c r="C214" s="105"/>
      <c r="D214" s="105"/>
      <c r="E214" s="108"/>
      <c r="F214" s="105"/>
    </row>
    <row r="215" spans="1:6" ht="18.75">
      <c r="A215" s="3" t="s">
        <v>119</v>
      </c>
      <c r="B215" s="88"/>
      <c r="C215" s="105"/>
      <c r="D215" s="105"/>
      <c r="E215" s="108"/>
      <c r="F215" s="105"/>
    </row>
    <row r="216" spans="1:6" ht="18.75">
      <c r="A216" s="3" t="s">
        <v>119</v>
      </c>
      <c r="B216" s="88"/>
      <c r="C216" s="105"/>
      <c r="D216" s="105"/>
      <c r="E216" s="108"/>
      <c r="F216" s="105"/>
    </row>
    <row r="217" spans="1:6" ht="18.75">
      <c r="A217" s="3" t="s">
        <v>119</v>
      </c>
      <c r="B217" s="88"/>
      <c r="C217" s="105"/>
      <c r="D217" s="105"/>
      <c r="E217" s="108"/>
      <c r="F217" s="105"/>
    </row>
    <row r="218" spans="1:6" ht="18.75">
      <c r="A218" s="3" t="s">
        <v>119</v>
      </c>
      <c r="B218" s="88"/>
      <c r="C218" s="105"/>
      <c r="D218" s="105"/>
      <c r="E218" s="108"/>
      <c r="F218" s="105"/>
    </row>
    <row r="219" spans="1:6" ht="18.75">
      <c r="A219" s="3" t="s">
        <v>119</v>
      </c>
      <c r="B219" s="88"/>
      <c r="C219" s="105"/>
      <c r="D219" s="105"/>
      <c r="E219" s="108"/>
      <c r="F219" s="105"/>
    </row>
    <row r="220" spans="1:6" ht="18.75">
      <c r="A220" s="3" t="s">
        <v>119</v>
      </c>
      <c r="B220" s="88"/>
      <c r="C220" s="105"/>
      <c r="D220" s="105"/>
      <c r="E220" s="108"/>
      <c r="F220" s="105"/>
    </row>
    <row r="221" spans="1:6" ht="18.75">
      <c r="A221" s="3" t="s">
        <v>119</v>
      </c>
      <c r="B221" s="88"/>
      <c r="C221" s="105"/>
      <c r="D221" s="105"/>
      <c r="E221" s="108"/>
      <c r="F221" s="105"/>
    </row>
    <row r="222" spans="1:6" ht="18.75">
      <c r="A222" s="3" t="s">
        <v>119</v>
      </c>
      <c r="B222" s="88"/>
      <c r="C222" s="105"/>
      <c r="D222" s="105"/>
      <c r="E222" s="108"/>
      <c r="F222" s="105"/>
    </row>
    <row r="223" spans="1:6" ht="18.75">
      <c r="A223" s="3" t="s">
        <v>119</v>
      </c>
      <c r="B223" s="88"/>
      <c r="C223" s="105"/>
      <c r="D223" s="105"/>
      <c r="E223" s="108"/>
      <c r="F223" s="105"/>
    </row>
    <row r="224" spans="1:6" ht="18.75">
      <c r="A224" s="3" t="s">
        <v>119</v>
      </c>
      <c r="B224" s="88"/>
      <c r="C224" s="105"/>
      <c r="D224" s="105"/>
      <c r="E224" s="108"/>
      <c r="F224" s="105"/>
    </row>
    <row r="225" spans="1:6" ht="18.75">
      <c r="A225" s="3" t="s">
        <v>119</v>
      </c>
      <c r="B225" s="88"/>
      <c r="C225" s="105"/>
      <c r="D225" s="105"/>
      <c r="E225" s="108"/>
      <c r="F225" s="105"/>
    </row>
    <row r="226" spans="1:6" ht="18.75">
      <c r="A226" s="3" t="s">
        <v>119</v>
      </c>
      <c r="B226" s="88"/>
      <c r="C226" s="105"/>
      <c r="D226" s="105"/>
      <c r="E226" s="108"/>
      <c r="F226" s="105"/>
    </row>
    <row r="227" spans="1:6" ht="18.75">
      <c r="A227" s="3" t="s">
        <v>119</v>
      </c>
      <c r="B227" s="88"/>
      <c r="C227" s="105"/>
      <c r="D227" s="105"/>
      <c r="E227" s="108"/>
      <c r="F227" s="105"/>
    </row>
    <row r="228" spans="1:6" ht="18.75">
      <c r="A228" s="3" t="s">
        <v>119</v>
      </c>
      <c r="B228" s="88"/>
      <c r="C228" s="105"/>
      <c r="D228" s="105"/>
      <c r="E228" s="108"/>
      <c r="F228" s="105"/>
    </row>
    <row r="229" spans="1:6" ht="18.75">
      <c r="A229" s="3" t="s">
        <v>119</v>
      </c>
      <c r="B229" s="88"/>
      <c r="C229" s="105"/>
      <c r="D229" s="105"/>
      <c r="E229" s="108"/>
      <c r="F229" s="105"/>
    </row>
    <row r="230" spans="1:6" ht="18.75">
      <c r="A230" s="3" t="s">
        <v>119</v>
      </c>
      <c r="B230" s="88"/>
      <c r="C230" s="105"/>
      <c r="D230" s="105"/>
      <c r="E230" s="108"/>
      <c r="F230" s="105"/>
    </row>
    <row r="231" spans="1:6" ht="18.75">
      <c r="A231" s="3" t="s">
        <v>119</v>
      </c>
      <c r="B231" s="88"/>
      <c r="C231" s="105"/>
      <c r="D231" s="105"/>
      <c r="E231" s="108"/>
      <c r="F231" s="105"/>
    </row>
    <row r="232" spans="1:6" ht="18.75">
      <c r="A232" s="3" t="s">
        <v>119</v>
      </c>
      <c r="B232" s="88"/>
      <c r="C232" s="105"/>
      <c r="D232" s="105"/>
      <c r="E232" s="108"/>
      <c r="F232" s="105"/>
    </row>
    <row r="233" spans="1:6" ht="18.75">
      <c r="A233" s="3" t="s">
        <v>119</v>
      </c>
      <c r="B233" s="88"/>
      <c r="C233" s="105"/>
      <c r="D233" s="105"/>
      <c r="E233" s="108"/>
      <c r="F233" s="105"/>
    </row>
    <row r="234" spans="1:6" ht="18.75">
      <c r="A234" s="3" t="s">
        <v>119</v>
      </c>
      <c r="B234" s="88"/>
      <c r="C234" s="105"/>
      <c r="D234" s="105"/>
      <c r="E234" s="108"/>
      <c r="F234" s="105"/>
    </row>
    <row r="235" spans="1:6" ht="18.75">
      <c r="A235" s="3" t="s">
        <v>119</v>
      </c>
      <c r="B235" s="88"/>
      <c r="C235" s="105"/>
      <c r="D235" s="105"/>
      <c r="E235" s="108"/>
      <c r="F235" s="105"/>
    </row>
    <row r="236" spans="1:6" ht="18.75">
      <c r="A236" s="3" t="s">
        <v>119</v>
      </c>
      <c r="B236" s="88"/>
      <c r="C236" s="105"/>
      <c r="D236" s="105"/>
      <c r="E236" s="108"/>
      <c r="F236" s="105"/>
    </row>
    <row r="237" spans="1:6" ht="18.75">
      <c r="A237" s="3" t="s">
        <v>119</v>
      </c>
      <c r="B237" s="88"/>
      <c r="C237" s="105"/>
      <c r="D237" s="105"/>
      <c r="E237" s="108"/>
      <c r="F237" s="105"/>
    </row>
    <row r="238" spans="1:6" ht="18.75">
      <c r="A238" s="3" t="s">
        <v>119</v>
      </c>
      <c r="B238" s="88"/>
      <c r="C238" s="105"/>
      <c r="D238" s="105"/>
      <c r="E238" s="108"/>
      <c r="F238" s="105"/>
    </row>
    <row r="239" spans="1:6" ht="18.75">
      <c r="A239" s="3" t="s">
        <v>119</v>
      </c>
      <c r="B239" s="88"/>
      <c r="C239" s="105"/>
      <c r="D239" s="105"/>
      <c r="E239" s="108"/>
      <c r="F239" s="105"/>
    </row>
    <row r="240" spans="1:6" ht="18.75">
      <c r="A240" s="3" t="s">
        <v>119</v>
      </c>
      <c r="B240" s="88"/>
      <c r="C240" s="105"/>
      <c r="D240" s="105"/>
      <c r="E240" s="108"/>
      <c r="F240" s="105"/>
    </row>
    <row r="241" spans="1:6" ht="18.75">
      <c r="A241" s="3" t="s">
        <v>119</v>
      </c>
      <c r="B241" s="88"/>
      <c r="C241" s="105"/>
      <c r="D241" s="105"/>
      <c r="E241" s="108"/>
      <c r="F241" s="105"/>
    </row>
    <row r="242" spans="1:6" ht="18.75">
      <c r="A242" s="3" t="s">
        <v>119</v>
      </c>
      <c r="B242" s="88"/>
      <c r="C242" s="105"/>
      <c r="D242" s="105"/>
      <c r="E242" s="108"/>
      <c r="F242" s="105"/>
    </row>
    <row r="243" spans="1:6" ht="18.75">
      <c r="A243" s="3" t="s">
        <v>119</v>
      </c>
      <c r="B243" s="88"/>
      <c r="C243" s="105"/>
      <c r="D243" s="105"/>
      <c r="E243" s="108"/>
      <c r="F243" s="105"/>
    </row>
    <row r="244" spans="1:6" ht="18.75">
      <c r="A244" s="3" t="s">
        <v>119</v>
      </c>
      <c r="B244" s="88"/>
      <c r="C244" s="105"/>
      <c r="D244" s="105"/>
      <c r="E244" s="108"/>
      <c r="F244" s="105"/>
    </row>
    <row r="245" spans="1:6" ht="18.75">
      <c r="A245" s="3" t="s">
        <v>119</v>
      </c>
      <c r="B245" s="88"/>
      <c r="C245" s="105"/>
      <c r="D245" s="105"/>
      <c r="E245" s="108"/>
      <c r="F245" s="105"/>
    </row>
    <row r="246" spans="1:6" ht="18.75">
      <c r="A246" s="3" t="s">
        <v>119</v>
      </c>
      <c r="B246" s="88"/>
      <c r="C246" s="105"/>
      <c r="D246" s="105"/>
      <c r="E246" s="108"/>
      <c r="F246" s="105"/>
    </row>
    <row r="247" spans="1:6" ht="18.75">
      <c r="A247" s="3" t="s">
        <v>119</v>
      </c>
      <c r="B247" s="88"/>
      <c r="C247" s="105"/>
      <c r="D247" s="105"/>
      <c r="E247" s="108"/>
      <c r="F247" s="105"/>
    </row>
    <row r="248" spans="1:6" ht="18.75">
      <c r="A248" s="3" t="s">
        <v>119</v>
      </c>
      <c r="B248" s="88"/>
      <c r="C248" s="105"/>
      <c r="D248" s="105"/>
      <c r="E248" s="108"/>
      <c r="F248" s="105"/>
    </row>
    <row r="249" spans="1:6" ht="18.75">
      <c r="A249" s="3" t="s">
        <v>119</v>
      </c>
      <c r="B249" s="88"/>
      <c r="C249" s="105"/>
      <c r="D249" s="105"/>
      <c r="E249" s="108"/>
      <c r="F249" s="105"/>
    </row>
    <row r="250" spans="1:6" ht="18.75">
      <c r="A250" s="3" t="s">
        <v>119</v>
      </c>
      <c r="B250" s="88"/>
      <c r="C250" s="105"/>
      <c r="D250" s="105"/>
      <c r="E250" s="108"/>
      <c r="F250" s="105"/>
    </row>
    <row r="251" spans="1:6" ht="18.75">
      <c r="A251" s="3" t="s">
        <v>119</v>
      </c>
      <c r="B251" s="88"/>
      <c r="C251" s="105"/>
      <c r="D251" s="105"/>
      <c r="E251" s="108"/>
      <c r="F251" s="105"/>
    </row>
    <row r="252" spans="1:6" ht="18.75">
      <c r="A252" s="3" t="s">
        <v>119</v>
      </c>
      <c r="B252" s="88"/>
      <c r="C252" s="105"/>
      <c r="D252" s="105"/>
      <c r="E252" s="108"/>
      <c r="F252" s="105"/>
    </row>
    <row r="253" spans="1:6" ht="18.75">
      <c r="A253" s="3" t="s">
        <v>119</v>
      </c>
      <c r="B253" s="88"/>
      <c r="C253" s="105"/>
      <c r="D253" s="105"/>
      <c r="E253" s="108"/>
      <c r="F253" s="105"/>
    </row>
    <row r="254" spans="1:6" ht="18.75">
      <c r="A254" s="3" t="s">
        <v>119</v>
      </c>
      <c r="B254" s="88"/>
      <c r="C254" s="105"/>
      <c r="D254" s="105"/>
      <c r="E254" s="108"/>
      <c r="F254" s="105"/>
    </row>
    <row r="255" spans="1:6" ht="18.75">
      <c r="A255" s="3" t="s">
        <v>119</v>
      </c>
      <c r="B255" s="88"/>
      <c r="C255" s="105"/>
      <c r="D255" s="105"/>
      <c r="E255" s="108"/>
      <c r="F255" s="105"/>
    </row>
    <row r="256" spans="1:6" ht="18.75">
      <c r="A256" s="3" t="s">
        <v>119</v>
      </c>
      <c r="B256" s="88"/>
      <c r="C256" s="105"/>
      <c r="D256" s="105"/>
      <c r="E256" s="108"/>
      <c r="F256" s="105"/>
    </row>
    <row r="257" spans="1:6" ht="18.75">
      <c r="A257" s="3" t="s">
        <v>119</v>
      </c>
      <c r="B257" s="88"/>
      <c r="C257" s="105"/>
      <c r="D257" s="105"/>
      <c r="E257" s="108"/>
      <c r="F257" s="105"/>
    </row>
    <row r="258" spans="1:6" ht="18.75">
      <c r="A258" s="3" t="s">
        <v>119</v>
      </c>
      <c r="B258" s="88"/>
      <c r="C258" s="105"/>
      <c r="D258" s="105"/>
      <c r="E258" s="108"/>
      <c r="F258" s="105"/>
    </row>
    <row r="259" spans="1:6" ht="18.75">
      <c r="A259" s="3" t="s">
        <v>119</v>
      </c>
      <c r="B259" s="88"/>
      <c r="C259" s="105"/>
      <c r="D259" s="105"/>
      <c r="E259" s="108"/>
      <c r="F259" s="105"/>
    </row>
    <row r="260" spans="1:6" ht="18.75">
      <c r="A260" s="3" t="s">
        <v>119</v>
      </c>
      <c r="B260" s="88"/>
      <c r="C260" s="105"/>
      <c r="D260" s="105"/>
      <c r="E260" s="108"/>
      <c r="F260" s="105"/>
    </row>
    <row r="261" spans="1:6">
      <c r="B261" s="83"/>
      <c r="C261" s="83"/>
      <c r="D261" s="83"/>
      <c r="E261" s="83"/>
      <c r="F261" s="83"/>
    </row>
    <row r="262" spans="1:6">
      <c r="B262" s="83"/>
      <c r="C262" s="83"/>
      <c r="D262" s="83"/>
      <c r="E262" s="83"/>
      <c r="F262" s="83"/>
    </row>
    <row r="263" spans="1:6">
      <c r="B263" s="83"/>
      <c r="C263" s="83"/>
      <c r="D263" s="83"/>
      <c r="E263" s="83"/>
      <c r="F263" s="83"/>
    </row>
    <row r="264" spans="1:6">
      <c r="B264" s="83"/>
      <c r="C264" s="83"/>
      <c r="D264" s="83"/>
      <c r="E264" s="83"/>
      <c r="F264" s="83"/>
    </row>
    <row r="265" spans="1:6">
      <c r="B265" s="83"/>
      <c r="C265" s="83"/>
      <c r="D265" s="83"/>
      <c r="E265" s="83"/>
      <c r="F265" s="83"/>
    </row>
    <row r="266" spans="1:6">
      <c r="B266" s="83"/>
      <c r="C266" s="83"/>
      <c r="D266" s="83"/>
      <c r="E266" s="83"/>
      <c r="F266" s="83"/>
    </row>
    <row r="267" spans="1:6">
      <c r="B267" s="83"/>
      <c r="C267" s="83"/>
      <c r="D267" s="83"/>
      <c r="E267" s="83"/>
      <c r="F267" s="83"/>
    </row>
    <row r="268" spans="1:6">
      <c r="B268" s="83"/>
      <c r="C268" s="83"/>
      <c r="D268" s="83"/>
      <c r="E268" s="83"/>
      <c r="F268" s="83"/>
    </row>
    <row r="269" spans="1:6">
      <c r="B269" s="83"/>
      <c r="C269" s="83"/>
      <c r="D269" s="83"/>
      <c r="E269" s="83"/>
      <c r="F269" s="83"/>
    </row>
    <row r="270" spans="1:6">
      <c r="B270" s="83"/>
      <c r="C270" s="83"/>
      <c r="D270" s="83"/>
      <c r="E270" s="83"/>
      <c r="F270" s="83"/>
    </row>
  </sheetData>
  <sheetProtection algorithmName="SHA-512" hashValue="+qT8+UissBtpWTcoCqOx8jZZDZ+0s5f4cPW+qDrqqtFRYnxlA2cvf2lDqLTDk6anPyyf7oBVloit+8ErgyOeoQ==" saltValue="YA6P9BLHugJAehT6x5cUXA==" spinCount="100000" sheet="1" objects="1" scenarios="1"/>
  <mergeCells count="3">
    <mergeCell ref="C2:J2"/>
    <mergeCell ref="B4:F4"/>
    <mergeCell ref="A2:A3"/>
  </mergeCells>
  <phoneticPr fontId="4" type="noConversion"/>
  <conditionalFormatting sqref="B10:F10">
    <cfRule type="expression" dxfId="15" priority="3">
      <formula>ISNUMBER(SEARCH("error",B10))</formula>
    </cfRule>
  </conditionalFormatting>
  <conditionalFormatting sqref="B261:O261">
    <cfRule type="expression" dxfId="14" priority="1">
      <formula>MOD(ROW(),2)=0</formula>
    </cfRule>
  </conditionalFormatting>
  <dataValidations count="2">
    <dataValidation type="whole" allowBlank="1" showDropDown="1" showInputMessage="1" showErrorMessage="1" error="Please enter a valid Integer" sqref="F11:F260 C11:D260" xr:uid="{07A5DACD-9EB7-445F-93F3-5CAB9CDB5C3F}">
      <formula1>-999999999999999</formula1>
      <formula2>999999999999999</formula2>
    </dataValidation>
    <dataValidation type="decimal" allowBlank="1" showDropDown="1" showInputMessage="1" showErrorMessage="1" error="Please enter a valid Monetary value" sqref="E11:E260" xr:uid="{BE77F061-E678-487C-B01E-E37AD74C4797}">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AA1DBDD4-BCE3-49A3-8600-76A8DD3F2CF7}">
          <x14:formula1>
            <xm:f>Lists!$U$2:$U$250</xm:f>
          </x14:formula1>
          <xm:sqref>B11:B260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D5C72-9E8E-4D2A-9A06-092D9E71ABE9}">
  <sheetPr codeName="Sheet33"/>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5" width="28.85546875" bestFit="1" customWidth="1"/>
    <col min="6" max="6" width="27.7109375" customWidth="1"/>
    <col min="7" max="7" width="30.140625" bestFit="1" customWidth="1"/>
  </cols>
  <sheetData>
    <row r="1" spans="1:100" s="57" customFormat="1" ht="2.25" customHeight="1">
      <c r="A1" s="54"/>
      <c r="C1" s="122"/>
      <c r="D1"/>
      <c r="E1"/>
      <c r="F1"/>
    </row>
    <row r="2" spans="1:100" ht="75.75" customHeight="1">
      <c r="A2" s="187" t="s">
        <v>43</v>
      </c>
      <c r="B2" s="58" t="s">
        <v>337</v>
      </c>
      <c r="C2" s="190" t="s">
        <v>338</v>
      </c>
      <c r="D2" s="193"/>
      <c r="E2" s="190"/>
      <c r="F2" s="193"/>
      <c r="G2" s="190"/>
    </row>
    <row r="3" spans="1:100" s="60" customFormat="1" ht="76.5" customHeight="1">
      <c r="A3" s="187"/>
      <c r="B3" s="59"/>
    </row>
    <row r="4" spans="1:100" s="57" customFormat="1" ht="24" customHeight="1">
      <c r="A4" s="61" t="s">
        <v>46</v>
      </c>
      <c r="B4" s="184" t="s">
        <v>339</v>
      </c>
      <c r="C4" s="184"/>
      <c r="D4" s="184"/>
      <c r="E4" s="184"/>
      <c r="F4" s="185"/>
      <c r="G4" s="186"/>
    </row>
    <row r="5" spans="1:100" s="15" customFormat="1" ht="78.75" customHeight="1">
      <c r="A5" s="7" t="s">
        <v>50</v>
      </c>
      <c r="B5" s="99" t="s">
        <v>340</v>
      </c>
      <c r="C5" s="99" t="s">
        <v>341</v>
      </c>
      <c r="D5" s="99" t="s">
        <v>342</v>
      </c>
      <c r="E5" s="99" t="s">
        <v>343</v>
      </c>
      <c r="F5" s="100" t="s">
        <v>344</v>
      </c>
      <c r="G5" s="101" t="s">
        <v>345</v>
      </c>
    </row>
    <row r="6" spans="1:100" ht="21" customHeight="1">
      <c r="A6" s="5" t="s">
        <v>80</v>
      </c>
      <c r="B6" s="69" t="s">
        <v>81</v>
      </c>
      <c r="C6" s="69" t="s">
        <v>82</v>
      </c>
      <c r="D6" s="69" t="s">
        <v>83</v>
      </c>
      <c r="E6" s="69" t="s">
        <v>84</v>
      </c>
      <c r="F6" s="71" t="s">
        <v>85</v>
      </c>
      <c r="G6" s="115" t="s">
        <v>86</v>
      </c>
    </row>
    <row r="7" spans="1:100" s="16" customFormat="1" ht="15" customHeight="1">
      <c r="A7" s="6" t="s">
        <v>110</v>
      </c>
      <c r="B7" s="74" t="s">
        <v>149</v>
      </c>
      <c r="C7" s="74" t="s">
        <v>149</v>
      </c>
      <c r="D7" s="74" t="s">
        <v>346</v>
      </c>
      <c r="E7" s="74" t="s">
        <v>346</v>
      </c>
      <c r="F7" s="75" t="s">
        <v>346</v>
      </c>
      <c r="G7" s="76" t="s">
        <v>346</v>
      </c>
    </row>
    <row r="8" spans="1:100" ht="15" customHeight="1">
      <c r="A8" s="6" t="s">
        <v>111</v>
      </c>
      <c r="B8" s="74" t="s">
        <v>347</v>
      </c>
      <c r="C8" s="74" t="s">
        <v>348</v>
      </c>
      <c r="D8" s="74" t="s">
        <v>198</v>
      </c>
      <c r="E8" s="74" t="s">
        <v>198</v>
      </c>
      <c r="F8" s="75" t="s">
        <v>198</v>
      </c>
      <c r="G8" s="76" t="s">
        <v>198</v>
      </c>
    </row>
    <row r="9" spans="1:100" ht="15" customHeight="1">
      <c r="A9" s="6" t="s">
        <v>117</v>
      </c>
      <c r="B9" s="74"/>
      <c r="C9" s="74"/>
      <c r="D9" s="74"/>
      <c r="E9" s="74"/>
      <c r="F9" s="75"/>
      <c r="G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80" t="str">
        <f>IFERROR(LOOKUP(2, 1/((Validations_ext!$B$2:$B$2004=$B$2)*(Validations_ext!$C$2:$C$2004=$F6)), Validations_ext!$J$2:$J$2004), "OK")</f>
        <v>OK</v>
      </c>
      <c r="G10" s="81" t="str">
        <f>IFERROR(LOOKUP(2, 1/((Validations_ext!$B$2:$B$2004=$B$2)*(Validations_ext!$C$2:$C$2004=$G6)), Validations_ext!$J$2:$J$2004), "OK")</f>
        <v>OK</v>
      </c>
    </row>
    <row r="11" spans="1:100" ht="31.5" customHeight="1">
      <c r="A11" s="4" t="s">
        <v>119</v>
      </c>
      <c r="B11" s="129"/>
      <c r="C11" s="108"/>
      <c r="D11" s="108"/>
      <c r="E11" s="108"/>
      <c r="F11" s="108"/>
      <c r="G11" s="108"/>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sheetData>
  <sheetProtection algorithmName="SHA-512" hashValue="XJzCBH9cHpHnh74gqo3sZCsnsShOnKYfIStTjvgO8sz+4U4Rnm71Vy/c6cGI/CnQVU5AmT6FHh68milNskQV5w==" saltValue="jb/atzDDekNvviYFjfvPyQ==" spinCount="100000" sheet="1" objects="1" scenarios="1"/>
  <mergeCells count="3">
    <mergeCell ref="B4:G4"/>
    <mergeCell ref="C2:G2"/>
    <mergeCell ref="A2:A3"/>
  </mergeCells>
  <phoneticPr fontId="4" type="noConversion"/>
  <conditionalFormatting sqref="B10:G10">
    <cfRule type="expression" dxfId="13" priority="2">
      <formula>ISNUMBER(SEARCH("error",B10))</formula>
    </cfRule>
  </conditionalFormatting>
  <conditionalFormatting sqref="B12:G12">
    <cfRule type="expression" dxfId="12" priority="1">
      <formula>MOD(ROW(),2)=0</formula>
    </cfRule>
  </conditionalFormatting>
  <dataValidations count="3">
    <dataValidation type="date" allowBlank="1" showDropDown="1" showInputMessage="1" showErrorMessage="1" error="Please enter a valid date in YYYY-MM-DD format" sqref="B11" xr:uid="{DDB7107E-3354-40BD-B1EB-3B1416764E21}">
      <formula1>1</formula1>
      <formula2>82546</formula2>
    </dataValidation>
    <dataValidation type="decimal" allowBlank="1" showDropDown="1" showInputMessage="1" showErrorMessage="1" error="Please enter a valid Decimal Number" sqref="C11" xr:uid="{28AC2858-4C6E-42E2-82D2-7172E447888B}">
      <formula1>-999999999999999</formula1>
      <formula2>999999999999999</formula2>
    </dataValidation>
    <dataValidation type="decimal" allowBlank="1" showDropDown="1" showInputMessage="1" showErrorMessage="1" error="Please enter the % as a decimal number between 0 and 1." sqref="D11:G11" xr:uid="{682149C1-D5A6-4560-93BB-5535F04DF674}">
      <formula1>0</formula1>
      <formula2>1</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C657-58A7-48F3-81D2-E7302BD8ABC1}">
  <sheetPr codeName="Sheet34"/>
  <dimension ref="A1:CV14"/>
  <sheetViews>
    <sheetView zoomScale="82" zoomScaleNormal="82"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5" width="27.7109375" customWidth="1"/>
    <col min="6" max="6" width="29.7109375" bestFit="1" customWidth="1"/>
    <col min="7" max="13" width="27.7109375" customWidth="1"/>
    <col min="14" max="14" width="28.85546875" bestFit="1" customWidth="1"/>
    <col min="15" max="15" width="31" bestFit="1" customWidth="1"/>
    <col min="16" max="16" width="43.140625" bestFit="1" customWidth="1"/>
    <col min="17" max="17" width="29.5703125" bestFit="1" customWidth="1"/>
    <col min="18" max="18" width="27.7109375" customWidth="1"/>
    <col min="19" max="19" width="27.85546875" bestFit="1" customWidth="1"/>
    <col min="20" max="20" width="40.85546875" bestFit="1" customWidth="1"/>
  </cols>
  <sheetData>
    <row r="1" spans="1:100" s="57" customFormat="1" ht="2.25" customHeight="1">
      <c r="A1" s="54"/>
      <c r="C1" s="122"/>
      <c r="D1"/>
      <c r="E1"/>
      <c r="F1"/>
    </row>
    <row r="2" spans="1:100" ht="75.75" customHeight="1">
      <c r="A2" s="187" t="s">
        <v>43</v>
      </c>
      <c r="B2" s="58" t="s">
        <v>349</v>
      </c>
      <c r="C2" s="190" t="s">
        <v>350</v>
      </c>
      <c r="D2" s="193"/>
      <c r="E2" s="190"/>
      <c r="F2" s="193"/>
      <c r="G2" s="190"/>
      <c r="H2" s="193"/>
      <c r="I2" s="190"/>
      <c r="J2" s="193"/>
    </row>
    <row r="3" spans="1:100" s="60" customFormat="1" ht="76.5" customHeight="1">
      <c r="A3" s="187"/>
      <c r="B3" s="59"/>
      <c r="U3" s="15"/>
    </row>
    <row r="4" spans="1:100" s="57" customFormat="1" ht="24" customHeight="1">
      <c r="A4" s="61" t="s">
        <v>46</v>
      </c>
      <c r="B4" s="184" t="s">
        <v>351</v>
      </c>
      <c r="C4" s="184"/>
      <c r="D4" s="184"/>
      <c r="E4" s="184"/>
      <c r="F4" s="184"/>
      <c r="G4" s="184"/>
      <c r="H4" s="184"/>
      <c r="I4" s="184"/>
      <c r="J4" s="184"/>
      <c r="K4" s="184"/>
      <c r="L4" s="184"/>
      <c r="M4" s="184"/>
      <c r="N4" s="184"/>
      <c r="O4" s="184"/>
      <c r="P4" s="184"/>
      <c r="Q4" s="184"/>
      <c r="R4" s="184"/>
      <c r="S4" s="185"/>
      <c r="T4" s="186"/>
      <c r="U4" s="15"/>
    </row>
    <row r="5" spans="1:100" s="15" customFormat="1" ht="78.75" customHeight="1">
      <c r="A5" s="7" t="s">
        <v>50</v>
      </c>
      <c r="B5" s="99" t="s">
        <v>352</v>
      </c>
      <c r="C5" s="99" t="s">
        <v>353</v>
      </c>
      <c r="D5" s="99" t="s">
        <v>354</v>
      </c>
      <c r="E5" s="99" t="s">
        <v>355</v>
      </c>
      <c r="F5" s="99" t="s">
        <v>356</v>
      </c>
      <c r="G5" s="99" t="s">
        <v>357</v>
      </c>
      <c r="H5" s="99" t="s">
        <v>358</v>
      </c>
      <c r="I5" s="99" t="s">
        <v>359</v>
      </c>
      <c r="J5" s="99" t="s">
        <v>360</v>
      </c>
      <c r="K5" s="99" t="s">
        <v>361</v>
      </c>
      <c r="L5" s="99" t="s">
        <v>362</v>
      </c>
      <c r="M5" s="99" t="s">
        <v>363</v>
      </c>
      <c r="N5" s="99" t="s">
        <v>364</v>
      </c>
      <c r="O5" s="99" t="s">
        <v>365</v>
      </c>
      <c r="P5" s="99" t="s">
        <v>366</v>
      </c>
      <c r="Q5" s="99" t="s">
        <v>367</v>
      </c>
      <c r="R5" s="99" t="s">
        <v>368</v>
      </c>
      <c r="S5" s="100" t="s">
        <v>369</v>
      </c>
      <c r="T5" s="101" t="s">
        <v>370</v>
      </c>
    </row>
    <row r="6" spans="1:100" ht="21" customHeight="1">
      <c r="A6" s="5" t="s">
        <v>80</v>
      </c>
      <c r="B6" s="69" t="s">
        <v>81</v>
      </c>
      <c r="C6" s="69" t="s">
        <v>82</v>
      </c>
      <c r="D6" s="69" t="s">
        <v>83</v>
      </c>
      <c r="E6" s="69" t="s">
        <v>84</v>
      </c>
      <c r="F6" s="69" t="s">
        <v>85</v>
      </c>
      <c r="G6" s="69" t="s">
        <v>86</v>
      </c>
      <c r="H6" s="69" t="s">
        <v>87</v>
      </c>
      <c r="I6" s="69" t="s">
        <v>88</v>
      </c>
      <c r="J6" s="69" t="s">
        <v>89</v>
      </c>
      <c r="K6" s="69" t="s">
        <v>90</v>
      </c>
      <c r="L6" s="69" t="s">
        <v>91</v>
      </c>
      <c r="M6" s="69" t="s">
        <v>92</v>
      </c>
      <c r="N6" s="69" t="s">
        <v>93</v>
      </c>
      <c r="O6" s="69" t="s">
        <v>94</v>
      </c>
      <c r="P6" s="69" t="s">
        <v>95</v>
      </c>
      <c r="Q6" s="69" t="s">
        <v>96</v>
      </c>
      <c r="R6" s="69" t="s">
        <v>97</v>
      </c>
      <c r="S6" s="71" t="s">
        <v>98</v>
      </c>
      <c r="T6" s="115" t="s">
        <v>99</v>
      </c>
    </row>
    <row r="7" spans="1:100" s="16" customFormat="1" ht="15" customHeight="1">
      <c r="A7" s="6" t="s">
        <v>110</v>
      </c>
      <c r="B7" s="74"/>
      <c r="C7" s="74"/>
      <c r="D7" s="74"/>
      <c r="E7" s="74"/>
      <c r="F7" s="74"/>
      <c r="G7" s="74"/>
      <c r="H7" s="74"/>
      <c r="I7" s="74"/>
      <c r="J7" s="74"/>
      <c r="K7" s="74"/>
      <c r="L7" s="74"/>
      <c r="M7" s="74"/>
      <c r="N7" s="74"/>
      <c r="O7" s="74"/>
      <c r="P7" s="74"/>
      <c r="Q7" s="74"/>
      <c r="R7" s="74"/>
      <c r="S7" s="75"/>
      <c r="T7" s="76"/>
    </row>
    <row r="8" spans="1:100" ht="15" customHeight="1">
      <c r="A8" s="6" t="s">
        <v>111</v>
      </c>
      <c r="B8" s="74" t="s">
        <v>371</v>
      </c>
      <c r="C8" s="74" t="s">
        <v>372</v>
      </c>
      <c r="D8" s="74" t="s">
        <v>372</v>
      </c>
      <c r="E8" s="74" t="s">
        <v>372</v>
      </c>
      <c r="F8" s="74" t="s">
        <v>372</v>
      </c>
      <c r="G8" s="74" t="s">
        <v>372</v>
      </c>
      <c r="H8" s="74" t="s">
        <v>372</v>
      </c>
      <c r="I8" s="74" t="s">
        <v>372</v>
      </c>
      <c r="J8" s="74" t="s">
        <v>116</v>
      </c>
      <c r="K8" s="74" t="s">
        <v>116</v>
      </c>
      <c r="L8" s="74" t="s">
        <v>347</v>
      </c>
      <c r="M8" s="74" t="s">
        <v>347</v>
      </c>
      <c r="N8" s="74" t="s">
        <v>347</v>
      </c>
      <c r="O8" s="74" t="s">
        <v>347</v>
      </c>
      <c r="P8" s="74" t="s">
        <v>347</v>
      </c>
      <c r="Q8" s="74" t="s">
        <v>347</v>
      </c>
      <c r="R8" s="74" t="s">
        <v>347</v>
      </c>
      <c r="S8" s="75" t="s">
        <v>347</v>
      </c>
      <c r="T8" s="76" t="s">
        <v>347</v>
      </c>
    </row>
    <row r="9" spans="1:100" ht="15" customHeight="1">
      <c r="A9" s="6" t="s">
        <v>117</v>
      </c>
      <c r="B9" s="74"/>
      <c r="C9" s="74"/>
      <c r="D9" s="74"/>
      <c r="E9" s="74"/>
      <c r="F9" s="74"/>
      <c r="G9" s="74"/>
      <c r="H9" s="74"/>
      <c r="I9" s="74"/>
      <c r="J9" s="74"/>
      <c r="K9" s="74"/>
      <c r="L9" s="74"/>
      <c r="M9" s="74"/>
      <c r="N9" s="74"/>
      <c r="O9" s="74"/>
      <c r="P9" s="74"/>
      <c r="Q9" s="74"/>
      <c r="R9" s="74"/>
      <c r="S9" s="75"/>
      <c r="T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78" t="str">
        <f>IFERROR(LOOKUP(2, 1/((Validations_ext!$B$2:$B$2004=$B$2)*(Validations_ext!$C$2:$C$2004=$G6)), Validations_ext!$J$2:$J$2004), "OK")</f>
        <v>OK</v>
      </c>
      <c r="H10" s="78" t="str">
        <f>IFERROR(LOOKUP(2, 1/((Validations_ext!$B$2:$B$2004=$B$2)*(Validations_ext!$C$2:$C$2004=$H6)), Validations_ext!$J$2:$J$2004), "OK")</f>
        <v>OK</v>
      </c>
      <c r="I10" s="78" t="str">
        <f>IFERROR(LOOKUP(2, 1/((Validations_ext!$B$2:$B$2004=$B$2)*(Validations_ext!$C$2:$C$2004=$I6)), Validations_ext!$J$2:$J$2004), "OK")</f>
        <v>OK</v>
      </c>
      <c r="J10" s="78" t="str">
        <f>IFERROR(LOOKUP(2, 1/((Validations_ext!$B$2:$B$2004=$B$2)*(Validations_ext!$C$2:$C$2004=$J6)), Validations_ext!$J$2:$J$2004), "OK")</f>
        <v>OK</v>
      </c>
      <c r="K10" s="78" t="str">
        <f>IFERROR(LOOKUP(2, 1/((Validations_ext!$B$2:$B$2004=$B$2)*(Validations_ext!$C$2:$C$2004=$K6)), Validations_ext!$J$2:$J$2004), "OK")</f>
        <v>OK</v>
      </c>
      <c r="L10" s="78" t="str">
        <f>IFERROR(LOOKUP(2, 1/((Validations_ext!$B$2:$B$2004=$B$2)*(Validations_ext!$C$2:$C$2004=$L6)), Validations_ext!$J$2:$J$2004), "OK")</f>
        <v>OK</v>
      </c>
      <c r="M10" s="78" t="str">
        <f>IFERROR(LOOKUP(2, 1/((Validations_ext!$B$2:$B$2004=$B$2)*(Validations_ext!$C$2:$C$2004=$M6)), Validations_ext!$J$2:$J$2004), "OK")</f>
        <v>OK</v>
      </c>
      <c r="N10" s="78" t="str">
        <f>IFERROR(LOOKUP(2, 1/((Validations_ext!$B$2:$B$2004=$B$2)*(Validations_ext!$C$2:$C$2004=$N6)), Validations_ext!$J$2:$J$2004), "OK")</f>
        <v>OK</v>
      </c>
      <c r="O10" s="78" t="str">
        <f>IFERROR(LOOKUP(2, 1/((Validations_ext!$B$2:$B$2004=$B$2)*(Validations_ext!$C$2:$C$2004=$O6)), Validations_ext!$J$2:$J$2004), "OK")</f>
        <v>OK</v>
      </c>
      <c r="P10" s="78" t="str">
        <f>IFERROR(LOOKUP(2, 1/((Validations_ext!$B$2:$B$2004=$B$2)*(Validations_ext!$C$2:$C$2004=$P6)), Validations_ext!$J$2:$J$2004), "OK")</f>
        <v>OK</v>
      </c>
      <c r="Q10" s="78" t="str">
        <f>IFERROR(LOOKUP(2, 1/((Validations_ext!$B$2:$B$2004=$B$2)*(Validations_ext!$C$2:$C$2004=$Q6)), Validations_ext!$J$2:$J$2004), "OK")</f>
        <v>OK</v>
      </c>
      <c r="R10" s="78" t="str">
        <f>IFERROR(LOOKUP(2, 1/((Validations_ext!$B$2:$B$2004=$B$2)*(Validations_ext!$C$2:$C$2004=$R6)), Validations_ext!$J$2:$J$2004), "OK")</f>
        <v>OK</v>
      </c>
      <c r="S10" s="80" t="str">
        <f>IFERROR(LOOKUP(2, 1/((Validations_ext!$B$2:$B$2004=$B$2)*(Validations_ext!$C$2:$C$2004=$S6)), Validations_ext!$J$2:$J$2004), "OK")</f>
        <v>OK</v>
      </c>
      <c r="T10" s="81" t="str">
        <f>IFERROR(LOOKUP(2, 1/((Validations_ext!$B$2:$B$2004=$B$2)*(Validations_ext!$C$2:$C$2004=$T6)), Validations_ext!$J$2:$J$2004), "OK")</f>
        <v>OK</v>
      </c>
    </row>
    <row r="11" spans="1:100" ht="31.5" customHeight="1">
      <c r="A11" s="4" t="s">
        <v>119</v>
      </c>
      <c r="B11" s="88"/>
      <c r="C11" s="88"/>
      <c r="D11" s="88"/>
      <c r="E11" s="88"/>
      <c r="F11" s="88"/>
      <c r="G11" s="88"/>
      <c r="H11" s="88"/>
      <c r="I11" s="88"/>
      <c r="J11" s="88"/>
      <c r="K11" s="88"/>
      <c r="L11" s="129"/>
      <c r="M11" s="129"/>
      <c r="N11" s="129"/>
      <c r="O11" s="129"/>
      <c r="P11" s="129"/>
      <c r="Q11" s="129"/>
      <c r="R11" s="129"/>
      <c r="S11" s="129"/>
      <c r="T11" s="129"/>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B13" s="130"/>
      <c r="C13"/>
      <c r="D13"/>
    </row>
    <row r="14" spans="1:100">
      <c r="C14"/>
      <c r="D14"/>
    </row>
  </sheetData>
  <sheetProtection algorithmName="SHA-512" hashValue="vNfruwlSiK5LQqO9cQt73WgGXZZkblMEyUE7TvudwGcpPtO/jgL36+3PRardVq50IZhGN0OxT/+aT9U+ztE26A==" saltValue="lD8jtVv4GGDDBsTbayyspg==" spinCount="100000" sheet="1" objects="1" scenarios="1"/>
  <mergeCells count="3">
    <mergeCell ref="C2:J2"/>
    <mergeCell ref="B4:T4"/>
    <mergeCell ref="A2:A3"/>
  </mergeCells>
  <phoneticPr fontId="4" type="noConversion"/>
  <conditionalFormatting sqref="B10:T10">
    <cfRule type="expression" dxfId="11" priority="2">
      <formula>ISNUMBER(SEARCH("error",B10))</formula>
    </cfRule>
  </conditionalFormatting>
  <conditionalFormatting sqref="B12:T12">
    <cfRule type="expression" dxfId="10" priority="1">
      <formula>MOD(ROW(),2)=0</formula>
    </cfRule>
  </conditionalFormatting>
  <dataValidations count="1">
    <dataValidation type="date" allowBlank="1" showDropDown="1" showInputMessage="1" showErrorMessage="1" error="Please enter a valid date in YYYY-MM-DD format" sqref="L11:T11" xr:uid="{E7FCC8EE-AA87-4C71-BE83-0A9064704B7B}">
      <formula1>1</formula1>
      <formula2>82546</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3">
        <x14:dataValidation type="list" allowBlank="1" showInputMessage="1" showErrorMessage="1" xr:uid="{6796FE1D-32F0-44E4-910E-5A1C5B372446}">
          <x14:formula1>
            <xm:f>Lists!$AK$2:$AK$6</xm:f>
          </x14:formula1>
          <xm:sqref>B11</xm:sqref>
        </x14:dataValidation>
        <x14:dataValidation type="list" allowBlank="1" showInputMessage="1" showErrorMessage="1" xr:uid="{B2F4DEB3-8BA5-48D1-B1DE-F0C8B2504DC4}">
          <x14:formula1>
            <xm:f>Lists!$AO$2:$AO$4</xm:f>
          </x14:formula1>
          <xm:sqref>C11 D11 E11 F11 G11 H11 I11</xm:sqref>
        </x14:dataValidation>
        <x14:dataValidation type="list" allowBlank="1" showInputMessage="1" showErrorMessage="1" xr:uid="{3A53C022-E35C-4EBF-9A5D-9CD4317E1568}">
          <x14:formula1>
            <xm:f>Lists!$Y$2:$Y$3</xm:f>
          </x14:formula1>
          <xm:sqref>J11 K11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860E2-0653-4DC8-994E-302637044B52}">
  <sheetPr codeName="Sheet35"/>
  <dimension ref="A1:CV13"/>
  <sheetViews>
    <sheetView zoomScale="90" zoomScaleNormal="90" workbookViewId="0">
      <selection activeCell="C15" sqref="C15"/>
    </sheetView>
  </sheetViews>
  <sheetFormatPr defaultColWidth="15.42578125" defaultRowHeight="15"/>
  <cols>
    <col min="1" max="1" width="28.5703125" style="57" customWidth="1"/>
    <col min="2" max="2" width="27.7109375" customWidth="1"/>
    <col min="3" max="4" width="27.7109375" style="85" customWidth="1"/>
    <col min="5" max="8" width="27.7109375" customWidth="1"/>
  </cols>
  <sheetData>
    <row r="1" spans="1:100" s="57" customFormat="1" ht="2.25" customHeight="1">
      <c r="A1" s="54"/>
      <c r="C1" s="122"/>
      <c r="D1"/>
      <c r="E1"/>
      <c r="F1"/>
    </row>
    <row r="2" spans="1:100" ht="75.75" customHeight="1">
      <c r="A2" s="187" t="s">
        <v>43</v>
      </c>
      <c r="B2" s="58" t="s">
        <v>373</v>
      </c>
      <c r="C2" s="190" t="s">
        <v>374</v>
      </c>
      <c r="D2" s="193"/>
      <c r="E2" s="190"/>
      <c r="F2" s="193"/>
      <c r="G2" s="190"/>
      <c r="H2" s="193"/>
    </row>
    <row r="3" spans="1:100" s="60" customFormat="1" ht="76.5" customHeight="1">
      <c r="A3" s="187"/>
      <c r="B3" s="59"/>
    </row>
    <row r="4" spans="1:100" s="57" customFormat="1" ht="24" customHeight="1">
      <c r="A4" s="61" t="s">
        <v>46</v>
      </c>
      <c r="B4" s="184" t="s">
        <v>375</v>
      </c>
      <c r="C4" s="184"/>
      <c r="D4" s="184"/>
      <c r="E4" s="184"/>
      <c r="F4" s="184"/>
      <c r="G4" s="185"/>
      <c r="H4" s="186"/>
    </row>
    <row r="5" spans="1:100" s="15" customFormat="1" ht="78.75" customHeight="1">
      <c r="A5" s="7" t="s">
        <v>50</v>
      </c>
      <c r="B5" s="99" t="s">
        <v>376</v>
      </c>
      <c r="C5" s="99" t="s">
        <v>377</v>
      </c>
      <c r="D5" s="99" t="s">
        <v>378</v>
      </c>
      <c r="E5" s="99" t="s">
        <v>379</v>
      </c>
      <c r="F5" s="99" t="s">
        <v>380</v>
      </c>
      <c r="G5" s="100" t="s">
        <v>381</v>
      </c>
      <c r="H5" s="101" t="s">
        <v>382</v>
      </c>
    </row>
    <row r="6" spans="1:100" ht="21" customHeight="1">
      <c r="A6" s="5" t="s">
        <v>80</v>
      </c>
      <c r="B6" s="69" t="s">
        <v>81</v>
      </c>
      <c r="C6" s="69" t="s">
        <v>82</v>
      </c>
      <c r="D6" s="69" t="s">
        <v>83</v>
      </c>
      <c r="E6" s="69" t="s">
        <v>84</v>
      </c>
      <c r="F6" s="69" t="s">
        <v>85</v>
      </c>
      <c r="G6" s="71" t="s">
        <v>86</v>
      </c>
      <c r="H6" s="115" t="s">
        <v>87</v>
      </c>
    </row>
    <row r="7" spans="1:100" s="16" customFormat="1" ht="15" customHeight="1">
      <c r="A7" s="6" t="s">
        <v>110</v>
      </c>
      <c r="B7" s="74"/>
      <c r="C7" s="74"/>
      <c r="D7" s="74"/>
      <c r="E7" s="74" t="s">
        <v>149</v>
      </c>
      <c r="F7" s="74" t="s">
        <v>149</v>
      </c>
      <c r="G7" s="75" t="s">
        <v>149</v>
      </c>
      <c r="H7" s="76" t="s">
        <v>149</v>
      </c>
    </row>
    <row r="8" spans="1:100" ht="15" customHeight="1">
      <c r="A8" s="6" t="s">
        <v>111</v>
      </c>
      <c r="B8" s="74" t="s">
        <v>347</v>
      </c>
      <c r="C8" s="74" t="s">
        <v>116</v>
      </c>
      <c r="D8" s="74" t="s">
        <v>347</v>
      </c>
      <c r="E8" s="74" t="s">
        <v>151</v>
      </c>
      <c r="F8" s="74" t="s">
        <v>151</v>
      </c>
      <c r="G8" s="75" t="s">
        <v>151</v>
      </c>
      <c r="H8" s="76" t="s">
        <v>151</v>
      </c>
    </row>
    <row r="9" spans="1:100" ht="15" customHeight="1">
      <c r="A9" s="6" t="s">
        <v>117</v>
      </c>
      <c r="B9" s="74"/>
      <c r="C9" s="74"/>
      <c r="D9" s="74"/>
      <c r="E9" s="74"/>
      <c r="F9" s="74"/>
      <c r="G9" s="75"/>
      <c r="H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80" t="str">
        <f>IFERROR(LOOKUP(2, 1/((Validations_ext!$B$2:$B$2004=$B$2)*(Validations_ext!$C$2:$C$2004=$G6)), Validations_ext!$J$2:$J$2004), "OK")</f>
        <v>OK</v>
      </c>
      <c r="H10" s="81" t="str">
        <f>IFERROR(LOOKUP(2, 1/((Validations_ext!$B$2:$B$2004=$B$2)*(Validations_ext!$C$2:$C$2004=$H6)), Validations_ext!$J$2:$J$2004), "OK")</f>
        <v>OK</v>
      </c>
    </row>
    <row r="11" spans="1:100" ht="31.5" customHeight="1">
      <c r="A11" s="4" t="s">
        <v>119</v>
      </c>
      <c r="B11" s="129">
        <v>45736</v>
      </c>
      <c r="C11" s="88" t="s">
        <v>383</v>
      </c>
      <c r="D11" s="129">
        <v>45326</v>
      </c>
      <c r="E11" s="105"/>
      <c r="F11" s="105"/>
      <c r="G11" s="105"/>
      <c r="H11" s="105"/>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B13" s="131"/>
      <c r="D13" s="131"/>
      <c r="F13" s="132"/>
    </row>
  </sheetData>
  <sheetProtection algorithmName="SHA-512" hashValue="eSe/wuFslcEm0T0MK/6fB18Ykh3DufUyY33RPdGGH+YuKd0HYn4wUKAY+1tMIXOPFTenyChfOjOZk7Gf6N2g7g==" saltValue="rSq8dtIOXERJF8kGr/Vy7w==" spinCount="100000" sheet="1" objects="1" scenarios="1"/>
  <mergeCells count="3">
    <mergeCell ref="B4:H4"/>
    <mergeCell ref="C2:H2"/>
    <mergeCell ref="A2:A3"/>
  </mergeCells>
  <phoneticPr fontId="4" type="noConversion"/>
  <conditionalFormatting sqref="B10:H10">
    <cfRule type="expression" dxfId="9" priority="2">
      <formula>ISNUMBER(SEARCH("error",B10))</formula>
    </cfRule>
  </conditionalFormatting>
  <conditionalFormatting sqref="B12:H12">
    <cfRule type="expression" dxfId="8" priority="1">
      <formula>MOD(ROW(),2)=0</formula>
    </cfRule>
  </conditionalFormatting>
  <dataValidations count="2">
    <dataValidation type="date" allowBlank="1" showDropDown="1" showInputMessage="1" showErrorMessage="1" error="Please enter a valid date in YYYY-MM-DD format" sqref="B11 D11" xr:uid="{25443DA8-B9A7-49DA-9019-BCBC6F32CE7F}">
      <formula1>1</formula1>
      <formula2>82546</formula2>
    </dataValidation>
    <dataValidation type="whole" allowBlank="1" showDropDown="1" showInputMessage="1" showErrorMessage="1" error="Please enter a valid Integer" sqref="E11:H11" xr:uid="{5983C310-CEE9-471D-80E2-DF89FB5C1CB0}">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xr:uid="{1EB7D5D8-9209-4C0F-88AA-7E09EC5215FA}">
          <x14:formula1>
            <xm:f>Lists!$Y$2:$Y$3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61ADD-6873-4492-BC68-96FA5E07E659}">
  <sheetPr codeName="Sheet3"/>
  <dimension ref="A1:CV270"/>
  <sheetViews>
    <sheetView topLeftCell="A4" zoomScale="90" zoomScaleNormal="90" workbookViewId="0">
      <selection activeCell="B11" sqref="B11"/>
    </sheetView>
  </sheetViews>
  <sheetFormatPr defaultColWidth="9.140625" defaultRowHeight="15"/>
  <cols>
    <col min="1" max="1" width="25.140625" style="85" bestFit="1" customWidth="1"/>
    <col min="2" max="2" width="27.7109375" customWidth="1"/>
    <col min="3" max="4" width="27.7109375" style="85" customWidth="1"/>
    <col min="5" max="5" width="27.7109375" customWidth="1"/>
  </cols>
  <sheetData>
    <row r="1" spans="1:100" s="57" customFormat="1" ht="2.25" customHeight="1">
      <c r="A1" s="54"/>
      <c r="B1" s="191"/>
      <c r="C1" s="192"/>
      <c r="D1" s="191"/>
      <c r="E1"/>
      <c r="F1"/>
      <c r="G1"/>
      <c r="H1"/>
      <c r="I1"/>
      <c r="J1"/>
      <c r="K1"/>
      <c r="L1"/>
      <c r="M1"/>
      <c r="N1"/>
      <c r="O1"/>
      <c r="P1"/>
      <c r="Q1"/>
      <c r="R1"/>
      <c r="S1"/>
      <c r="T1"/>
      <c r="U1"/>
      <c r="V1"/>
      <c r="W1"/>
      <c r="X1"/>
      <c r="Y1"/>
      <c r="Z1"/>
      <c r="AA1"/>
      <c r="AB1"/>
      <c r="AC1"/>
      <c r="AD1"/>
      <c r="AE1"/>
      <c r="AF1"/>
      <c r="AG1"/>
      <c r="AH1"/>
      <c r="AI1"/>
      <c r="AJ1"/>
      <c r="AK1"/>
      <c r="AL1"/>
      <c r="AM1"/>
    </row>
    <row r="2" spans="1:100" ht="75.75" customHeight="1">
      <c r="A2" s="187" t="s">
        <v>43</v>
      </c>
      <c r="B2" s="58" t="s">
        <v>120</v>
      </c>
      <c r="C2" s="190" t="s">
        <v>121</v>
      </c>
      <c r="D2" s="193"/>
      <c r="E2" s="190"/>
      <c r="F2" s="15"/>
      <c r="G2" s="15"/>
      <c r="H2" s="15"/>
      <c r="I2" s="15"/>
    </row>
    <row r="3" spans="1:100" s="60" customFormat="1" ht="76.5" customHeight="1">
      <c r="A3" s="187"/>
      <c r="B3" s="59"/>
    </row>
    <row r="4" spans="1:100" s="57" customFormat="1" ht="24" customHeight="1">
      <c r="A4" s="61" t="s">
        <v>46</v>
      </c>
      <c r="B4" s="184" t="s">
        <v>121</v>
      </c>
      <c r="C4" s="184"/>
      <c r="D4" s="185"/>
      <c r="E4" s="186"/>
      <c r="F4"/>
      <c r="G4"/>
      <c r="H4"/>
      <c r="I4"/>
      <c r="J4"/>
      <c r="K4"/>
      <c r="L4"/>
      <c r="M4"/>
      <c r="N4"/>
      <c r="O4"/>
      <c r="P4"/>
      <c r="Q4"/>
      <c r="R4"/>
      <c r="S4"/>
      <c r="T4"/>
      <c r="U4"/>
      <c r="V4"/>
      <c r="W4"/>
      <c r="X4"/>
      <c r="Y4"/>
      <c r="Z4"/>
      <c r="AA4"/>
      <c r="AB4"/>
      <c r="AC4"/>
      <c r="AD4"/>
      <c r="AE4"/>
      <c r="AF4"/>
      <c r="AG4"/>
      <c r="AH4"/>
      <c r="AI4"/>
      <c r="AJ4"/>
      <c r="AK4"/>
      <c r="AL4"/>
      <c r="AM4"/>
    </row>
    <row r="5" spans="1:100" s="15" customFormat="1" ht="78.75" customHeight="1">
      <c r="A5" s="7" t="s">
        <v>50</v>
      </c>
      <c r="B5" s="64" t="s">
        <v>122</v>
      </c>
      <c r="C5" s="64" t="s">
        <v>123</v>
      </c>
      <c r="D5" s="65" t="s">
        <v>124</v>
      </c>
      <c r="E5" s="66" t="s">
        <v>125</v>
      </c>
    </row>
    <row r="6" spans="1:100" ht="21" customHeight="1">
      <c r="A6" s="5" t="s">
        <v>80</v>
      </c>
      <c r="B6" s="69" t="s">
        <v>81</v>
      </c>
      <c r="C6" s="70" t="s">
        <v>82</v>
      </c>
      <c r="D6" s="71" t="s">
        <v>83</v>
      </c>
      <c r="E6" s="72" t="s">
        <v>84</v>
      </c>
    </row>
    <row r="7" spans="1:100" s="16" customFormat="1" ht="15" customHeight="1">
      <c r="A7" s="6" t="s">
        <v>110</v>
      </c>
      <c r="B7" s="74"/>
      <c r="C7" s="74"/>
      <c r="D7" s="75"/>
      <c r="E7" s="76"/>
      <c r="F7"/>
      <c r="G7"/>
      <c r="H7"/>
      <c r="I7"/>
      <c r="J7"/>
      <c r="K7"/>
    </row>
    <row r="8" spans="1:100" s="11" customFormat="1" ht="15" customHeight="1">
      <c r="A8" s="6" t="s">
        <v>111</v>
      </c>
      <c r="B8" s="89" t="s">
        <v>126</v>
      </c>
      <c r="C8" s="89" t="s">
        <v>127</v>
      </c>
      <c r="D8" s="90" t="s">
        <v>128</v>
      </c>
      <c r="E8" s="91" t="s">
        <v>112</v>
      </c>
    </row>
    <row r="9" spans="1:100" s="11" customFormat="1" ht="15" customHeight="1">
      <c r="A9" s="6" t="s">
        <v>117</v>
      </c>
      <c r="B9" s="89"/>
      <c r="C9" s="89"/>
      <c r="D9" s="90"/>
      <c r="E9" s="91"/>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80" t="str">
        <f>IFERROR(LOOKUP(2, 1/((Validations_ext!$B$2:$B$2004=$B$2)*(Validations_ext!$C$2:$C$2004=$D6)), Validations_ext!$J$2:$J$2004), "OK")</f>
        <v>OK</v>
      </c>
      <c r="E10" s="92" t="str">
        <f ca="1">IFERROR(LOOKUP(2, 1/((Validations_ext!$B$2:$B$2004=$B$2)*(Validations_ext!$C$2:$C$2004=$E6)), Validations_ext!$J$2:$J$2004), "OK")</f>
        <v>OK</v>
      </c>
      <c r="F10"/>
      <c r="G10"/>
      <c r="H10"/>
      <c r="I10"/>
      <c r="J10"/>
      <c r="K10"/>
      <c r="L10"/>
      <c r="M10"/>
      <c r="N10"/>
    </row>
    <row r="11" spans="1:100" ht="31.5" customHeight="1">
      <c r="A11" s="3" t="s">
        <v>119</v>
      </c>
      <c r="B11" s="88"/>
      <c r="C11" s="88"/>
      <c r="D11" s="88"/>
      <c r="E11" s="10"/>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A12" s="3" t="s">
        <v>119</v>
      </c>
      <c r="B12" s="88"/>
      <c r="C12" s="88"/>
      <c r="D12" s="88"/>
      <c r="E12" s="10"/>
    </row>
    <row r="13" spans="1:100" ht="18.75">
      <c r="A13" s="3" t="s">
        <v>119</v>
      </c>
      <c r="B13" s="88"/>
      <c r="C13" s="88"/>
      <c r="D13" s="88"/>
      <c r="E13" s="10"/>
    </row>
    <row r="14" spans="1:100" ht="18.75">
      <c r="A14" s="3" t="s">
        <v>119</v>
      </c>
      <c r="B14" s="88"/>
      <c r="C14" s="88"/>
      <c r="D14" s="88"/>
      <c r="E14" s="10"/>
    </row>
    <row r="15" spans="1:100" ht="18.75">
      <c r="A15" s="3" t="s">
        <v>119</v>
      </c>
      <c r="B15" s="88"/>
      <c r="C15" s="88"/>
      <c r="D15" s="88"/>
      <c r="E15" s="10"/>
    </row>
    <row r="16" spans="1:100" ht="18.75">
      <c r="A16" s="3" t="s">
        <v>119</v>
      </c>
      <c r="B16" s="88"/>
      <c r="C16" s="88"/>
      <c r="D16" s="88"/>
      <c r="E16" s="10"/>
    </row>
    <row r="17" spans="1:5" ht="18.75">
      <c r="A17" s="3" t="s">
        <v>119</v>
      </c>
      <c r="B17" s="88"/>
      <c r="C17" s="88"/>
      <c r="D17" s="88"/>
      <c r="E17" s="10"/>
    </row>
    <row r="18" spans="1:5" ht="18.75">
      <c r="A18" s="3" t="s">
        <v>119</v>
      </c>
      <c r="B18" s="88"/>
      <c r="C18" s="88"/>
      <c r="D18" s="88"/>
      <c r="E18" s="10"/>
    </row>
    <row r="19" spans="1:5" ht="18.75">
      <c r="A19" s="3" t="s">
        <v>119</v>
      </c>
      <c r="B19" s="88"/>
      <c r="C19" s="88"/>
      <c r="D19" s="88"/>
      <c r="E19" s="10"/>
    </row>
    <row r="20" spans="1:5" ht="18.75">
      <c r="A20" s="3" t="s">
        <v>119</v>
      </c>
      <c r="B20" s="88"/>
      <c r="C20" s="88"/>
      <c r="D20" s="88"/>
      <c r="E20" s="10"/>
    </row>
    <row r="21" spans="1:5" ht="18.75">
      <c r="A21" s="3" t="s">
        <v>119</v>
      </c>
      <c r="B21" s="88"/>
      <c r="C21" s="88"/>
      <c r="D21" s="88"/>
      <c r="E21" s="10"/>
    </row>
    <row r="22" spans="1:5" ht="18.75">
      <c r="A22" s="3" t="s">
        <v>119</v>
      </c>
      <c r="B22" s="88"/>
      <c r="C22" s="88"/>
      <c r="D22" s="88"/>
      <c r="E22" s="10"/>
    </row>
    <row r="23" spans="1:5" ht="18.75">
      <c r="A23" s="3" t="s">
        <v>119</v>
      </c>
      <c r="B23" s="88"/>
      <c r="C23" s="88"/>
      <c r="D23" s="88"/>
      <c r="E23" s="10"/>
    </row>
    <row r="24" spans="1:5" ht="18.75">
      <c r="A24" s="3" t="s">
        <v>119</v>
      </c>
      <c r="B24" s="88"/>
      <c r="C24" s="88"/>
      <c r="D24" s="88"/>
      <c r="E24" s="10"/>
    </row>
    <row r="25" spans="1:5" ht="18.75">
      <c r="A25" s="3" t="s">
        <v>119</v>
      </c>
      <c r="B25" s="88"/>
      <c r="C25" s="88"/>
      <c r="D25" s="88"/>
      <c r="E25" s="10"/>
    </row>
    <row r="26" spans="1:5" ht="18.75">
      <c r="A26" s="3" t="s">
        <v>119</v>
      </c>
      <c r="B26" s="88"/>
      <c r="C26" s="88"/>
      <c r="D26" s="88"/>
      <c r="E26" s="10"/>
    </row>
    <row r="27" spans="1:5" ht="18.75">
      <c r="A27" s="3" t="s">
        <v>119</v>
      </c>
      <c r="B27" s="88"/>
      <c r="C27" s="88"/>
      <c r="D27" s="88"/>
      <c r="E27" s="10"/>
    </row>
    <row r="28" spans="1:5" ht="18.75">
      <c r="A28" s="3" t="s">
        <v>119</v>
      </c>
      <c r="B28" s="88"/>
      <c r="C28" s="88"/>
      <c r="D28" s="88"/>
      <c r="E28" s="10"/>
    </row>
    <row r="29" spans="1:5" ht="18.75">
      <c r="A29" s="3" t="s">
        <v>119</v>
      </c>
      <c r="B29" s="88"/>
      <c r="C29" s="88"/>
      <c r="D29" s="88"/>
      <c r="E29" s="10"/>
    </row>
    <row r="30" spans="1:5" ht="18.75">
      <c r="A30" s="3" t="s">
        <v>119</v>
      </c>
      <c r="B30" s="88"/>
      <c r="C30" s="88"/>
      <c r="D30" s="88"/>
      <c r="E30" s="10"/>
    </row>
    <row r="31" spans="1:5" ht="18.75">
      <c r="A31" s="3" t="s">
        <v>119</v>
      </c>
      <c r="B31" s="88"/>
      <c r="C31" s="88"/>
      <c r="D31" s="88"/>
      <c r="E31" s="10"/>
    </row>
    <row r="32" spans="1:5" ht="18.75">
      <c r="A32" s="3" t="s">
        <v>119</v>
      </c>
      <c r="B32" s="88"/>
      <c r="C32" s="88"/>
      <c r="D32" s="88"/>
      <c r="E32" s="10"/>
    </row>
    <row r="33" spans="1:5" ht="18.75">
      <c r="A33" s="3" t="s">
        <v>119</v>
      </c>
      <c r="B33" s="88"/>
      <c r="C33" s="88"/>
      <c r="D33" s="88"/>
      <c r="E33" s="10"/>
    </row>
    <row r="34" spans="1:5" ht="18.75">
      <c r="A34" s="3" t="s">
        <v>119</v>
      </c>
      <c r="B34" s="88"/>
      <c r="C34" s="88"/>
      <c r="D34" s="88"/>
      <c r="E34" s="10"/>
    </row>
    <row r="35" spans="1:5" ht="18.75">
      <c r="A35" s="3" t="s">
        <v>119</v>
      </c>
      <c r="B35" s="88"/>
      <c r="C35" s="88"/>
      <c r="D35" s="88"/>
      <c r="E35" s="10"/>
    </row>
    <row r="36" spans="1:5" ht="18.75">
      <c r="A36" s="3" t="s">
        <v>119</v>
      </c>
      <c r="B36" s="88"/>
      <c r="C36" s="88"/>
      <c r="D36" s="88"/>
      <c r="E36" s="10"/>
    </row>
    <row r="37" spans="1:5" ht="18.75">
      <c r="A37" s="3" t="s">
        <v>119</v>
      </c>
      <c r="B37" s="88"/>
      <c r="C37" s="88"/>
      <c r="D37" s="88"/>
      <c r="E37" s="10"/>
    </row>
    <row r="38" spans="1:5" ht="18.75">
      <c r="A38" s="3" t="s">
        <v>119</v>
      </c>
      <c r="B38" s="88"/>
      <c r="C38" s="88"/>
      <c r="D38" s="88"/>
      <c r="E38" s="10"/>
    </row>
    <row r="39" spans="1:5" ht="18.75">
      <c r="A39" s="3" t="s">
        <v>119</v>
      </c>
      <c r="B39" s="88"/>
      <c r="C39" s="88"/>
      <c r="D39" s="88"/>
      <c r="E39" s="10"/>
    </row>
    <row r="40" spans="1:5" ht="18.75">
      <c r="A40" s="3" t="s">
        <v>119</v>
      </c>
      <c r="B40" s="88"/>
      <c r="C40" s="88"/>
      <c r="D40" s="88"/>
      <c r="E40" s="10"/>
    </row>
    <row r="41" spans="1:5" ht="18.75">
      <c r="A41" s="3" t="s">
        <v>119</v>
      </c>
      <c r="B41" s="88"/>
      <c r="C41" s="88"/>
      <c r="D41" s="88"/>
      <c r="E41" s="10"/>
    </row>
    <row r="42" spans="1:5" ht="18.75">
      <c r="A42" s="3" t="s">
        <v>119</v>
      </c>
      <c r="B42" s="88"/>
      <c r="C42" s="88"/>
      <c r="D42" s="88"/>
      <c r="E42" s="10"/>
    </row>
    <row r="43" spans="1:5" ht="18.75">
      <c r="A43" s="3" t="s">
        <v>119</v>
      </c>
      <c r="B43" s="88"/>
      <c r="C43" s="88"/>
      <c r="D43" s="88"/>
      <c r="E43" s="10"/>
    </row>
    <row r="44" spans="1:5" ht="18.75">
      <c r="A44" s="3" t="s">
        <v>119</v>
      </c>
      <c r="B44" s="88"/>
      <c r="C44" s="88"/>
      <c r="D44" s="88"/>
      <c r="E44" s="10"/>
    </row>
    <row r="45" spans="1:5" ht="18.75">
      <c r="A45" s="3" t="s">
        <v>119</v>
      </c>
      <c r="B45" s="88"/>
      <c r="C45" s="88"/>
      <c r="D45" s="88"/>
      <c r="E45" s="10"/>
    </row>
    <row r="46" spans="1:5" ht="18.75">
      <c r="A46" s="3" t="s">
        <v>119</v>
      </c>
      <c r="B46" s="88"/>
      <c r="C46" s="88"/>
      <c r="D46" s="88"/>
      <c r="E46" s="10"/>
    </row>
    <row r="47" spans="1:5" ht="18.75">
      <c r="A47" s="3" t="s">
        <v>119</v>
      </c>
      <c r="B47" s="88"/>
      <c r="C47" s="88"/>
      <c r="D47" s="88"/>
      <c r="E47" s="10"/>
    </row>
    <row r="48" spans="1:5" ht="18.75">
      <c r="A48" s="3" t="s">
        <v>119</v>
      </c>
      <c r="B48" s="88"/>
      <c r="C48" s="88"/>
      <c r="D48" s="88"/>
      <c r="E48" s="10"/>
    </row>
    <row r="49" spans="1:5" ht="18.75">
      <c r="A49" s="3" t="s">
        <v>119</v>
      </c>
      <c r="B49" s="88"/>
      <c r="C49" s="88"/>
      <c r="D49" s="88"/>
      <c r="E49" s="10"/>
    </row>
    <row r="50" spans="1:5" ht="18.75">
      <c r="A50" s="3" t="s">
        <v>119</v>
      </c>
      <c r="B50" s="88"/>
      <c r="C50" s="88"/>
      <c r="D50" s="88"/>
      <c r="E50" s="10"/>
    </row>
    <row r="51" spans="1:5">
      <c r="B51" s="94"/>
      <c r="C51" s="94"/>
      <c r="D51" s="94"/>
      <c r="E51" s="83"/>
    </row>
    <row r="52" spans="1:5">
      <c r="B52" s="94"/>
      <c r="C52" s="94"/>
      <c r="D52" s="94"/>
      <c r="E52" s="83"/>
    </row>
    <row r="53" spans="1:5">
      <c r="B53" s="94"/>
      <c r="C53" s="94"/>
      <c r="D53" s="94"/>
      <c r="E53" s="83"/>
    </row>
    <row r="54" spans="1:5">
      <c r="B54" s="94"/>
      <c r="C54" s="94"/>
      <c r="D54" s="94"/>
      <c r="E54" s="83"/>
    </row>
    <row r="55" spans="1:5">
      <c r="B55" s="94"/>
      <c r="C55" s="94"/>
      <c r="D55" s="94"/>
      <c r="E55" s="83"/>
    </row>
    <row r="56" spans="1:5">
      <c r="B56" s="94"/>
      <c r="C56" s="94"/>
      <c r="D56" s="94"/>
      <c r="E56" s="83"/>
    </row>
    <row r="57" spans="1:5">
      <c r="B57" s="94"/>
      <c r="C57" s="94"/>
      <c r="D57" s="94"/>
      <c r="E57" s="83"/>
    </row>
    <row r="58" spans="1:5">
      <c r="B58" s="94"/>
      <c r="C58" s="94"/>
      <c r="D58" s="94"/>
      <c r="E58" s="83"/>
    </row>
    <row r="59" spans="1:5">
      <c r="B59" s="94"/>
      <c r="C59" s="94"/>
      <c r="D59" s="94"/>
      <c r="E59" s="83"/>
    </row>
    <row r="60" spans="1:5">
      <c r="B60" s="94"/>
      <c r="C60" s="94"/>
      <c r="D60" s="94"/>
      <c r="E60" s="83"/>
    </row>
    <row r="61" spans="1:5">
      <c r="B61" s="94"/>
      <c r="C61" s="94"/>
      <c r="D61" s="94"/>
      <c r="E61" s="83"/>
    </row>
    <row r="62" spans="1:5">
      <c r="B62" s="94"/>
      <c r="C62" s="94"/>
      <c r="D62" s="94"/>
      <c r="E62" s="83"/>
    </row>
    <row r="63" spans="1:5">
      <c r="B63" s="83"/>
      <c r="C63" s="94"/>
      <c r="D63" s="94"/>
      <c r="E63" s="83"/>
    </row>
    <row r="64" spans="1:5">
      <c r="B64" s="83"/>
      <c r="C64" s="94"/>
      <c r="D64" s="94"/>
      <c r="E64" s="83"/>
    </row>
    <row r="65" spans="2:5">
      <c r="B65" s="83"/>
      <c r="C65" s="94"/>
      <c r="D65" s="94"/>
      <c r="E65" s="83"/>
    </row>
    <row r="66" spans="2:5">
      <c r="B66" s="83"/>
      <c r="C66" s="94"/>
      <c r="D66" s="94"/>
      <c r="E66" s="83"/>
    </row>
    <row r="67" spans="2:5">
      <c r="B67" s="83"/>
      <c r="C67" s="94"/>
      <c r="D67" s="94"/>
      <c r="E67" s="83"/>
    </row>
    <row r="68" spans="2:5">
      <c r="B68" s="83"/>
      <c r="C68" s="94"/>
      <c r="D68" s="94"/>
      <c r="E68" s="83"/>
    </row>
    <row r="69" spans="2:5">
      <c r="B69" s="83"/>
      <c r="C69" s="94"/>
      <c r="D69" s="94"/>
      <c r="E69" s="83"/>
    </row>
    <row r="70" spans="2:5">
      <c r="B70" s="83"/>
      <c r="C70" s="94"/>
      <c r="D70" s="94"/>
      <c r="E70" s="83"/>
    </row>
    <row r="71" spans="2:5">
      <c r="B71" s="83"/>
      <c r="C71" s="94"/>
      <c r="D71" s="94"/>
      <c r="E71" s="83"/>
    </row>
    <row r="72" spans="2:5">
      <c r="B72" s="83"/>
      <c r="C72" s="94"/>
      <c r="D72" s="94"/>
      <c r="E72" s="83"/>
    </row>
    <row r="73" spans="2:5">
      <c r="B73" s="83"/>
      <c r="C73" s="94"/>
      <c r="D73" s="94"/>
      <c r="E73" s="83"/>
    </row>
    <row r="74" spans="2:5">
      <c r="B74" s="83"/>
      <c r="C74" s="94"/>
      <c r="D74" s="94"/>
      <c r="E74" s="83"/>
    </row>
    <row r="75" spans="2:5">
      <c r="B75" s="83"/>
      <c r="C75" s="94"/>
      <c r="D75" s="94"/>
      <c r="E75" s="83"/>
    </row>
    <row r="76" spans="2:5">
      <c r="B76" s="83"/>
      <c r="C76" s="94"/>
      <c r="D76" s="94"/>
      <c r="E76" s="83"/>
    </row>
    <row r="77" spans="2:5">
      <c r="B77" s="83"/>
      <c r="C77" s="94"/>
      <c r="D77" s="94"/>
      <c r="E77" s="83"/>
    </row>
    <row r="78" spans="2:5">
      <c r="B78" s="83"/>
      <c r="C78" s="94"/>
      <c r="D78" s="94"/>
      <c r="E78" s="83"/>
    </row>
    <row r="79" spans="2:5">
      <c r="B79" s="83"/>
      <c r="C79" s="94"/>
      <c r="D79" s="94"/>
      <c r="E79" s="83"/>
    </row>
    <row r="80" spans="2:5">
      <c r="B80" s="83"/>
      <c r="C80" s="94"/>
      <c r="D80" s="94"/>
      <c r="E80" s="83"/>
    </row>
    <row r="81" spans="2:5">
      <c r="B81" s="83"/>
      <c r="C81" s="94"/>
      <c r="D81" s="94"/>
      <c r="E81" s="83"/>
    </row>
    <row r="82" spans="2:5">
      <c r="B82" s="83"/>
      <c r="C82" s="94"/>
      <c r="D82" s="94"/>
      <c r="E82" s="83"/>
    </row>
    <row r="83" spans="2:5">
      <c r="B83" s="83"/>
      <c r="C83" s="94"/>
      <c r="D83" s="94"/>
      <c r="E83" s="83"/>
    </row>
    <row r="84" spans="2:5">
      <c r="B84" s="83"/>
      <c r="C84" s="94"/>
      <c r="D84" s="94"/>
      <c r="E84" s="83"/>
    </row>
    <row r="85" spans="2:5">
      <c r="B85" s="83"/>
      <c r="C85" s="94"/>
      <c r="D85" s="94"/>
      <c r="E85" s="83"/>
    </row>
    <row r="86" spans="2:5">
      <c r="B86" s="83"/>
      <c r="C86" s="94"/>
      <c r="D86" s="94"/>
      <c r="E86" s="83"/>
    </row>
    <row r="87" spans="2:5">
      <c r="B87" s="83"/>
      <c r="C87" s="94"/>
      <c r="D87" s="94"/>
      <c r="E87" s="83"/>
    </row>
    <row r="88" spans="2:5">
      <c r="B88" s="83"/>
      <c r="C88" s="94"/>
      <c r="D88" s="94"/>
      <c r="E88" s="83"/>
    </row>
    <row r="89" spans="2:5">
      <c r="B89" s="83"/>
      <c r="C89" s="94"/>
      <c r="D89" s="94"/>
      <c r="E89" s="83"/>
    </row>
    <row r="90" spans="2:5">
      <c r="B90" s="83"/>
      <c r="C90" s="94"/>
      <c r="D90" s="94"/>
      <c r="E90" s="83"/>
    </row>
    <row r="91" spans="2:5">
      <c r="B91" s="83"/>
      <c r="C91" s="94"/>
      <c r="D91" s="94"/>
      <c r="E91" s="83"/>
    </row>
    <row r="92" spans="2:5">
      <c r="B92" s="83"/>
      <c r="C92" s="94"/>
      <c r="D92" s="94"/>
      <c r="E92" s="83"/>
    </row>
    <row r="93" spans="2:5">
      <c r="B93" s="83"/>
      <c r="C93" s="94"/>
      <c r="D93" s="94"/>
      <c r="E93" s="83"/>
    </row>
    <row r="94" spans="2:5">
      <c r="B94" s="83"/>
      <c r="C94" s="94"/>
      <c r="D94" s="94"/>
      <c r="E94" s="83"/>
    </row>
    <row r="95" spans="2:5">
      <c r="B95" s="83"/>
      <c r="C95" s="94"/>
      <c r="D95" s="94"/>
      <c r="E95" s="83"/>
    </row>
    <row r="96" spans="2:5">
      <c r="B96" s="83"/>
      <c r="C96" s="94"/>
      <c r="D96" s="94"/>
      <c r="E96" s="83"/>
    </row>
    <row r="97" spans="2:5">
      <c r="B97" s="83"/>
      <c r="C97" s="94"/>
      <c r="D97" s="94"/>
      <c r="E97" s="83"/>
    </row>
    <row r="98" spans="2:5">
      <c r="B98" s="83"/>
      <c r="C98" s="94"/>
      <c r="D98" s="94"/>
      <c r="E98" s="83"/>
    </row>
    <row r="99" spans="2:5">
      <c r="B99" s="83"/>
      <c r="C99" s="94"/>
      <c r="D99" s="94"/>
      <c r="E99" s="83"/>
    </row>
    <row r="100" spans="2:5">
      <c r="B100" s="83"/>
      <c r="C100" s="94"/>
      <c r="D100" s="94"/>
      <c r="E100" s="83"/>
    </row>
    <row r="101" spans="2:5">
      <c r="B101" s="83"/>
      <c r="C101" s="94"/>
      <c r="D101" s="94"/>
      <c r="E101" s="83"/>
    </row>
    <row r="102" spans="2:5">
      <c r="B102" s="83"/>
      <c r="C102" s="94"/>
      <c r="D102" s="94"/>
      <c r="E102" s="83"/>
    </row>
    <row r="103" spans="2:5">
      <c r="B103" s="83"/>
      <c r="C103" s="94"/>
      <c r="D103" s="94"/>
      <c r="E103" s="83"/>
    </row>
    <row r="104" spans="2:5">
      <c r="B104" s="83"/>
      <c r="C104" s="94"/>
      <c r="D104" s="94"/>
      <c r="E104" s="83"/>
    </row>
    <row r="105" spans="2:5">
      <c r="B105" s="83"/>
      <c r="C105" s="94"/>
      <c r="D105" s="94"/>
      <c r="E105" s="83"/>
    </row>
    <row r="106" spans="2:5">
      <c r="B106" s="83"/>
      <c r="C106" s="94"/>
      <c r="D106" s="94"/>
      <c r="E106" s="83"/>
    </row>
    <row r="107" spans="2:5">
      <c r="B107" s="83"/>
      <c r="C107" s="94"/>
      <c r="D107" s="94"/>
      <c r="E107" s="83"/>
    </row>
    <row r="108" spans="2:5">
      <c r="B108" s="83"/>
      <c r="C108" s="94"/>
      <c r="D108" s="94"/>
      <c r="E108" s="83"/>
    </row>
    <row r="109" spans="2:5">
      <c r="B109" s="83"/>
      <c r="C109" s="94"/>
      <c r="D109" s="94"/>
      <c r="E109" s="83"/>
    </row>
    <row r="110" spans="2:5">
      <c r="B110" s="83"/>
      <c r="C110" s="94"/>
      <c r="D110" s="94"/>
      <c r="E110" s="83"/>
    </row>
    <row r="111" spans="2:5">
      <c r="B111" s="83"/>
      <c r="C111" s="94"/>
      <c r="D111" s="94"/>
      <c r="E111" s="83"/>
    </row>
    <row r="112" spans="2:5">
      <c r="B112" s="83"/>
      <c r="C112" s="94"/>
      <c r="D112" s="94"/>
      <c r="E112" s="83"/>
    </row>
    <row r="113" spans="2:5">
      <c r="B113" s="83"/>
      <c r="C113" s="94"/>
      <c r="D113" s="94"/>
      <c r="E113" s="83"/>
    </row>
    <row r="114" spans="2:5">
      <c r="B114" s="83"/>
      <c r="C114" s="94"/>
      <c r="D114" s="94"/>
      <c r="E114" s="83"/>
    </row>
    <row r="115" spans="2:5">
      <c r="B115" s="83"/>
      <c r="C115" s="94"/>
      <c r="D115" s="94"/>
      <c r="E115" s="83"/>
    </row>
    <row r="116" spans="2:5">
      <c r="B116" s="83"/>
      <c r="C116" s="94"/>
      <c r="D116" s="94"/>
      <c r="E116" s="83"/>
    </row>
    <row r="117" spans="2:5">
      <c r="B117" s="83"/>
      <c r="C117" s="94"/>
      <c r="D117" s="94"/>
      <c r="E117" s="83"/>
    </row>
    <row r="118" spans="2:5">
      <c r="B118" s="83"/>
      <c r="C118" s="94"/>
      <c r="D118" s="94"/>
      <c r="E118" s="83"/>
    </row>
    <row r="119" spans="2:5">
      <c r="B119" s="83"/>
      <c r="C119" s="94"/>
      <c r="D119" s="94"/>
      <c r="E119" s="83"/>
    </row>
    <row r="120" spans="2:5">
      <c r="B120" s="83"/>
      <c r="C120" s="94"/>
      <c r="D120" s="94"/>
      <c r="E120" s="83"/>
    </row>
    <row r="121" spans="2:5">
      <c r="B121" s="83"/>
      <c r="C121" s="94"/>
      <c r="D121" s="94"/>
      <c r="E121" s="83"/>
    </row>
    <row r="122" spans="2:5">
      <c r="B122" s="83"/>
      <c r="C122" s="94"/>
      <c r="D122" s="94"/>
      <c r="E122" s="83"/>
    </row>
    <row r="123" spans="2:5">
      <c r="B123" s="83"/>
      <c r="C123" s="94"/>
      <c r="D123" s="94"/>
      <c r="E123" s="83"/>
    </row>
    <row r="124" spans="2:5">
      <c r="B124" s="83"/>
      <c r="C124" s="94"/>
      <c r="D124" s="94"/>
      <c r="E124" s="83"/>
    </row>
    <row r="125" spans="2:5">
      <c r="B125" s="83"/>
      <c r="C125" s="94"/>
      <c r="D125" s="94"/>
      <c r="E125" s="83"/>
    </row>
    <row r="126" spans="2:5">
      <c r="B126" s="83"/>
      <c r="C126" s="94"/>
      <c r="D126" s="94"/>
      <c r="E126" s="83"/>
    </row>
    <row r="127" spans="2:5">
      <c r="B127" s="83"/>
      <c r="C127" s="94"/>
      <c r="D127" s="94"/>
      <c r="E127" s="83"/>
    </row>
    <row r="128" spans="2:5">
      <c r="B128" s="83"/>
      <c r="C128" s="94"/>
      <c r="D128" s="94"/>
      <c r="E128" s="83"/>
    </row>
    <row r="129" spans="2:5">
      <c r="B129" s="83"/>
      <c r="C129" s="94"/>
      <c r="D129" s="94"/>
      <c r="E129" s="83"/>
    </row>
    <row r="130" spans="2:5">
      <c r="B130" s="83"/>
      <c r="C130" s="94"/>
      <c r="D130" s="94"/>
      <c r="E130" s="83"/>
    </row>
    <row r="131" spans="2:5">
      <c r="B131" s="83"/>
      <c r="C131" s="94"/>
      <c r="D131" s="94"/>
      <c r="E131" s="83"/>
    </row>
    <row r="132" spans="2:5">
      <c r="B132" s="83"/>
      <c r="C132" s="94"/>
      <c r="D132" s="94"/>
      <c r="E132" s="83"/>
    </row>
    <row r="133" spans="2:5">
      <c r="B133" s="83"/>
      <c r="C133" s="94"/>
      <c r="D133" s="94"/>
      <c r="E133" s="83"/>
    </row>
    <row r="134" spans="2:5">
      <c r="B134" s="83"/>
      <c r="C134" s="94"/>
      <c r="D134" s="94"/>
      <c r="E134" s="83"/>
    </row>
    <row r="135" spans="2:5">
      <c r="B135" s="83"/>
      <c r="C135" s="94"/>
      <c r="D135" s="94"/>
      <c r="E135" s="83"/>
    </row>
    <row r="136" spans="2:5">
      <c r="B136" s="83"/>
      <c r="C136" s="94"/>
      <c r="D136" s="94"/>
      <c r="E136" s="83"/>
    </row>
    <row r="137" spans="2:5">
      <c r="B137" s="83"/>
      <c r="C137" s="94"/>
      <c r="D137" s="94"/>
      <c r="E137" s="83"/>
    </row>
    <row r="138" spans="2:5">
      <c r="B138" s="83"/>
      <c r="C138" s="94"/>
      <c r="D138" s="94"/>
      <c r="E138" s="83"/>
    </row>
    <row r="139" spans="2:5">
      <c r="B139" s="83"/>
      <c r="C139" s="94"/>
      <c r="D139" s="94"/>
      <c r="E139" s="83"/>
    </row>
    <row r="140" spans="2:5">
      <c r="B140" s="83"/>
      <c r="C140" s="94"/>
      <c r="D140" s="94"/>
      <c r="E140" s="83"/>
    </row>
    <row r="141" spans="2:5">
      <c r="B141" s="83"/>
      <c r="C141" s="94"/>
      <c r="D141" s="94"/>
      <c r="E141" s="83"/>
    </row>
    <row r="142" spans="2:5">
      <c r="B142" s="83"/>
      <c r="C142" s="94"/>
      <c r="D142" s="94"/>
      <c r="E142" s="83"/>
    </row>
    <row r="143" spans="2:5">
      <c r="B143" s="83"/>
      <c r="C143" s="94"/>
      <c r="D143" s="94"/>
      <c r="E143" s="83"/>
    </row>
    <row r="144" spans="2:5">
      <c r="B144" s="83"/>
      <c r="C144" s="94"/>
      <c r="D144" s="94"/>
      <c r="E144" s="83"/>
    </row>
    <row r="145" spans="2:5">
      <c r="B145" s="83"/>
      <c r="C145" s="94"/>
      <c r="D145" s="94"/>
      <c r="E145" s="83"/>
    </row>
    <row r="146" spans="2:5">
      <c r="B146" s="83"/>
      <c r="C146" s="94"/>
      <c r="D146" s="94"/>
      <c r="E146" s="83"/>
    </row>
    <row r="147" spans="2:5">
      <c r="B147" s="83"/>
      <c r="C147" s="94"/>
      <c r="D147" s="94"/>
      <c r="E147" s="83"/>
    </row>
    <row r="148" spans="2:5">
      <c r="B148" s="83"/>
      <c r="C148" s="94"/>
      <c r="D148" s="94"/>
      <c r="E148" s="83"/>
    </row>
    <row r="149" spans="2:5">
      <c r="B149" s="83"/>
      <c r="C149" s="94"/>
      <c r="D149" s="94"/>
      <c r="E149" s="83"/>
    </row>
    <row r="150" spans="2:5">
      <c r="B150" s="83"/>
      <c r="C150" s="94"/>
      <c r="D150" s="94"/>
      <c r="E150" s="83"/>
    </row>
    <row r="151" spans="2:5">
      <c r="B151" s="83"/>
      <c r="C151" s="94"/>
      <c r="D151" s="94"/>
      <c r="E151" s="83"/>
    </row>
    <row r="152" spans="2:5">
      <c r="B152" s="83"/>
      <c r="C152" s="94"/>
      <c r="D152" s="94"/>
      <c r="E152" s="83"/>
    </row>
    <row r="153" spans="2:5">
      <c r="B153" s="83"/>
      <c r="C153" s="94"/>
      <c r="D153" s="94"/>
      <c r="E153" s="83"/>
    </row>
    <row r="154" spans="2:5">
      <c r="B154" s="83"/>
      <c r="C154" s="94"/>
      <c r="D154" s="94"/>
      <c r="E154" s="83"/>
    </row>
    <row r="155" spans="2:5">
      <c r="B155" s="83"/>
      <c r="C155" s="94"/>
      <c r="D155" s="94"/>
      <c r="E155" s="83"/>
    </row>
    <row r="156" spans="2:5">
      <c r="B156" s="83"/>
      <c r="C156" s="94"/>
      <c r="D156" s="94"/>
      <c r="E156" s="83"/>
    </row>
    <row r="157" spans="2:5">
      <c r="B157" s="83"/>
      <c r="C157" s="94"/>
      <c r="D157" s="94"/>
      <c r="E157" s="83"/>
    </row>
    <row r="158" spans="2:5">
      <c r="B158" s="83"/>
      <c r="C158" s="94"/>
      <c r="D158" s="94"/>
      <c r="E158" s="83"/>
    </row>
    <row r="159" spans="2:5">
      <c r="B159" s="83"/>
      <c r="C159" s="94"/>
      <c r="D159" s="94"/>
      <c r="E159" s="83"/>
    </row>
    <row r="160" spans="2:5">
      <c r="B160" s="83"/>
      <c r="C160" s="94"/>
      <c r="D160" s="94"/>
      <c r="E160" s="83"/>
    </row>
    <row r="161" spans="2:5">
      <c r="B161" s="83"/>
      <c r="C161" s="94"/>
      <c r="D161" s="94"/>
      <c r="E161" s="83"/>
    </row>
    <row r="162" spans="2:5">
      <c r="B162" s="83"/>
      <c r="C162" s="94"/>
      <c r="D162" s="94"/>
      <c r="E162" s="83"/>
    </row>
    <row r="163" spans="2:5">
      <c r="B163" s="83"/>
      <c r="C163" s="94"/>
      <c r="D163" s="94"/>
      <c r="E163" s="83"/>
    </row>
    <row r="164" spans="2:5">
      <c r="B164" s="83"/>
      <c r="C164" s="94"/>
      <c r="D164" s="94"/>
      <c r="E164" s="83"/>
    </row>
    <row r="165" spans="2:5">
      <c r="B165" s="83"/>
      <c r="C165" s="94"/>
      <c r="D165" s="94"/>
      <c r="E165" s="83"/>
    </row>
    <row r="166" spans="2:5">
      <c r="B166" s="83"/>
      <c r="C166" s="94"/>
      <c r="D166" s="94"/>
      <c r="E166" s="83"/>
    </row>
    <row r="167" spans="2:5">
      <c r="B167" s="83"/>
      <c r="C167" s="94"/>
      <c r="D167" s="94"/>
      <c r="E167" s="83"/>
    </row>
    <row r="168" spans="2:5">
      <c r="B168" s="83"/>
      <c r="C168" s="94"/>
      <c r="D168" s="94"/>
      <c r="E168" s="83"/>
    </row>
    <row r="169" spans="2:5">
      <c r="B169" s="83"/>
      <c r="C169" s="94"/>
      <c r="D169" s="94"/>
      <c r="E169" s="83"/>
    </row>
    <row r="170" spans="2:5">
      <c r="B170" s="83"/>
      <c r="C170" s="94"/>
      <c r="D170" s="94"/>
      <c r="E170" s="83"/>
    </row>
    <row r="171" spans="2:5">
      <c r="B171" s="83"/>
      <c r="C171" s="94"/>
      <c r="D171" s="94"/>
      <c r="E171" s="83"/>
    </row>
    <row r="172" spans="2:5">
      <c r="B172" s="83"/>
      <c r="C172" s="94"/>
      <c r="D172" s="94"/>
      <c r="E172" s="83"/>
    </row>
    <row r="173" spans="2:5">
      <c r="B173" s="83"/>
      <c r="C173" s="94"/>
      <c r="D173" s="94"/>
      <c r="E173" s="83"/>
    </row>
    <row r="174" spans="2:5">
      <c r="B174" s="83"/>
      <c r="C174" s="94"/>
      <c r="D174" s="94"/>
      <c r="E174" s="83"/>
    </row>
    <row r="175" spans="2:5">
      <c r="B175" s="83"/>
      <c r="C175" s="94"/>
      <c r="D175" s="94"/>
      <c r="E175" s="83"/>
    </row>
    <row r="176" spans="2:5">
      <c r="B176" s="83"/>
      <c r="C176" s="94"/>
      <c r="D176" s="94"/>
      <c r="E176" s="83"/>
    </row>
    <row r="177" spans="2:5">
      <c r="B177" s="83"/>
      <c r="C177" s="94"/>
      <c r="D177" s="94"/>
      <c r="E177" s="83"/>
    </row>
    <row r="178" spans="2:5">
      <c r="B178" s="83"/>
      <c r="C178" s="94"/>
      <c r="D178" s="94"/>
      <c r="E178" s="83"/>
    </row>
    <row r="179" spans="2:5">
      <c r="B179" s="83"/>
      <c r="C179" s="94"/>
      <c r="D179" s="94"/>
      <c r="E179" s="83"/>
    </row>
    <row r="180" spans="2:5">
      <c r="B180" s="83"/>
      <c r="C180" s="94"/>
      <c r="D180" s="94"/>
      <c r="E180" s="83"/>
    </row>
    <row r="181" spans="2:5">
      <c r="B181" s="83"/>
      <c r="C181" s="94"/>
      <c r="D181" s="94"/>
      <c r="E181" s="83"/>
    </row>
    <row r="182" spans="2:5">
      <c r="B182" s="83"/>
      <c r="C182" s="94"/>
      <c r="D182" s="94"/>
      <c r="E182" s="83"/>
    </row>
    <row r="183" spans="2:5">
      <c r="B183" s="83"/>
      <c r="C183" s="94"/>
      <c r="D183" s="94"/>
      <c r="E183" s="83"/>
    </row>
    <row r="184" spans="2:5">
      <c r="B184" s="83"/>
      <c r="C184" s="94"/>
      <c r="D184" s="94"/>
      <c r="E184" s="83"/>
    </row>
    <row r="185" spans="2:5">
      <c r="B185" s="83"/>
      <c r="C185" s="94"/>
      <c r="D185" s="94"/>
      <c r="E185" s="83"/>
    </row>
    <row r="186" spans="2:5">
      <c r="B186" s="83"/>
      <c r="C186" s="94"/>
      <c r="D186" s="94"/>
      <c r="E186" s="83"/>
    </row>
    <row r="187" spans="2:5">
      <c r="B187" s="83"/>
      <c r="C187" s="94"/>
      <c r="D187" s="94"/>
      <c r="E187" s="83"/>
    </row>
    <row r="188" spans="2:5">
      <c r="B188" s="83"/>
      <c r="C188" s="94"/>
      <c r="D188" s="94"/>
      <c r="E188" s="83"/>
    </row>
    <row r="189" spans="2:5">
      <c r="B189" s="83"/>
      <c r="C189" s="94"/>
      <c r="D189" s="94"/>
      <c r="E189" s="83"/>
    </row>
    <row r="190" spans="2:5">
      <c r="B190" s="83"/>
      <c r="C190" s="94"/>
      <c r="D190" s="94"/>
      <c r="E190" s="83"/>
    </row>
    <row r="191" spans="2:5">
      <c r="B191" s="83"/>
      <c r="C191" s="94"/>
      <c r="D191" s="94"/>
      <c r="E191" s="83"/>
    </row>
    <row r="192" spans="2:5">
      <c r="B192" s="83"/>
      <c r="C192" s="94"/>
      <c r="D192" s="94"/>
      <c r="E192" s="83"/>
    </row>
    <row r="193" spans="2:5">
      <c r="B193" s="83"/>
      <c r="C193" s="94"/>
      <c r="D193" s="94"/>
      <c r="E193" s="83"/>
    </row>
    <row r="194" spans="2:5">
      <c r="B194" s="83"/>
      <c r="C194" s="94"/>
      <c r="D194" s="94"/>
      <c r="E194" s="83"/>
    </row>
    <row r="195" spans="2:5">
      <c r="B195" s="83"/>
      <c r="C195" s="94"/>
      <c r="D195" s="94"/>
      <c r="E195" s="83"/>
    </row>
    <row r="196" spans="2:5">
      <c r="B196" s="83"/>
      <c r="C196" s="94"/>
      <c r="D196" s="94"/>
      <c r="E196" s="83"/>
    </row>
    <row r="197" spans="2:5">
      <c r="B197" s="83"/>
      <c r="C197" s="94"/>
      <c r="D197" s="94"/>
      <c r="E197" s="83"/>
    </row>
    <row r="198" spans="2:5">
      <c r="B198" s="83"/>
      <c r="C198" s="94"/>
      <c r="D198" s="94"/>
      <c r="E198" s="83"/>
    </row>
    <row r="199" spans="2:5">
      <c r="B199" s="83"/>
      <c r="C199" s="94"/>
      <c r="D199" s="94"/>
      <c r="E199" s="83"/>
    </row>
    <row r="200" spans="2:5">
      <c r="B200" s="83"/>
      <c r="C200" s="94"/>
      <c r="D200" s="94"/>
      <c r="E200" s="83"/>
    </row>
    <row r="201" spans="2:5">
      <c r="B201" s="83"/>
      <c r="C201" s="94"/>
      <c r="D201" s="94"/>
      <c r="E201" s="83"/>
    </row>
    <row r="202" spans="2:5">
      <c r="B202" s="83"/>
      <c r="C202" s="94"/>
      <c r="D202" s="94"/>
      <c r="E202" s="83"/>
    </row>
    <row r="203" spans="2:5">
      <c r="B203" s="83"/>
      <c r="C203" s="94"/>
      <c r="D203" s="94"/>
      <c r="E203" s="83"/>
    </row>
    <row r="204" spans="2:5">
      <c r="B204" s="83"/>
      <c r="C204" s="94"/>
      <c r="D204" s="94"/>
      <c r="E204" s="83"/>
    </row>
    <row r="205" spans="2:5">
      <c r="B205" s="83"/>
      <c r="C205" s="94"/>
      <c r="D205" s="94"/>
      <c r="E205" s="83"/>
    </row>
    <row r="206" spans="2:5">
      <c r="B206" s="83"/>
      <c r="C206" s="94"/>
      <c r="D206" s="94"/>
      <c r="E206" s="83"/>
    </row>
    <row r="207" spans="2:5">
      <c r="B207" s="83"/>
      <c r="C207" s="94"/>
      <c r="D207" s="94"/>
      <c r="E207" s="83"/>
    </row>
    <row r="208" spans="2:5">
      <c r="B208" s="83"/>
      <c r="C208" s="94"/>
      <c r="D208" s="94"/>
      <c r="E208" s="83"/>
    </row>
    <row r="209" spans="2:5">
      <c r="B209" s="83"/>
      <c r="C209" s="94"/>
      <c r="D209" s="94"/>
      <c r="E209" s="83"/>
    </row>
    <row r="210" spans="2:5">
      <c r="B210" s="83"/>
      <c r="C210" s="94"/>
      <c r="D210" s="94"/>
      <c r="E210" s="83"/>
    </row>
    <row r="211" spans="2:5">
      <c r="B211" s="83"/>
      <c r="C211" s="94"/>
      <c r="D211" s="94"/>
      <c r="E211" s="83"/>
    </row>
    <row r="212" spans="2:5">
      <c r="B212" s="83"/>
      <c r="C212" s="94"/>
      <c r="D212" s="94"/>
      <c r="E212" s="83"/>
    </row>
    <row r="213" spans="2:5">
      <c r="B213" s="83"/>
      <c r="C213" s="94"/>
      <c r="D213" s="94"/>
      <c r="E213" s="83"/>
    </row>
    <row r="214" spans="2:5">
      <c r="B214" s="83"/>
      <c r="C214" s="94"/>
      <c r="D214" s="94"/>
      <c r="E214" s="83"/>
    </row>
    <row r="215" spans="2:5">
      <c r="B215" s="83"/>
      <c r="C215" s="94"/>
      <c r="D215" s="94"/>
      <c r="E215" s="83"/>
    </row>
    <row r="216" spans="2:5">
      <c r="B216" s="83"/>
      <c r="C216" s="94"/>
      <c r="D216" s="94"/>
      <c r="E216" s="83"/>
    </row>
    <row r="217" spans="2:5">
      <c r="B217" s="83"/>
      <c r="C217" s="94"/>
      <c r="D217" s="94"/>
      <c r="E217" s="83"/>
    </row>
    <row r="218" spans="2:5">
      <c r="B218" s="83"/>
      <c r="C218" s="94"/>
      <c r="D218" s="94"/>
      <c r="E218" s="83"/>
    </row>
    <row r="219" spans="2:5">
      <c r="B219" s="83"/>
      <c r="C219" s="94"/>
      <c r="D219" s="94"/>
      <c r="E219" s="83"/>
    </row>
    <row r="220" spans="2:5">
      <c r="B220" s="83"/>
      <c r="C220" s="94"/>
      <c r="D220" s="94"/>
      <c r="E220" s="83"/>
    </row>
    <row r="221" spans="2:5">
      <c r="B221" s="83"/>
      <c r="C221" s="94"/>
      <c r="D221" s="94"/>
      <c r="E221" s="83"/>
    </row>
    <row r="222" spans="2:5">
      <c r="B222" s="83"/>
      <c r="C222" s="94"/>
      <c r="D222" s="94"/>
      <c r="E222" s="83"/>
    </row>
    <row r="223" spans="2:5">
      <c r="B223" s="83"/>
      <c r="C223" s="94"/>
      <c r="D223" s="94"/>
      <c r="E223" s="83"/>
    </row>
    <row r="224" spans="2:5">
      <c r="B224" s="83"/>
      <c r="C224" s="94"/>
      <c r="D224" s="94"/>
      <c r="E224" s="83"/>
    </row>
    <row r="225" spans="2:5">
      <c r="B225" s="83"/>
      <c r="C225" s="94"/>
      <c r="D225" s="94"/>
      <c r="E225" s="83"/>
    </row>
    <row r="226" spans="2:5">
      <c r="B226" s="83"/>
      <c r="C226" s="94"/>
      <c r="D226" s="94"/>
      <c r="E226" s="83"/>
    </row>
    <row r="227" spans="2:5">
      <c r="B227" s="83"/>
      <c r="C227" s="94"/>
      <c r="D227" s="94"/>
      <c r="E227" s="83"/>
    </row>
    <row r="228" spans="2:5">
      <c r="B228" s="83"/>
      <c r="C228" s="94"/>
      <c r="D228" s="94"/>
      <c r="E228" s="83"/>
    </row>
    <row r="229" spans="2:5">
      <c r="B229" s="83"/>
      <c r="C229" s="94"/>
      <c r="D229" s="94"/>
      <c r="E229" s="83"/>
    </row>
    <row r="230" spans="2:5">
      <c r="B230" s="83"/>
      <c r="C230" s="94"/>
      <c r="D230" s="94"/>
      <c r="E230" s="83"/>
    </row>
    <row r="231" spans="2:5">
      <c r="B231" s="83"/>
      <c r="C231" s="94"/>
      <c r="D231" s="94"/>
      <c r="E231" s="83"/>
    </row>
    <row r="232" spans="2:5">
      <c r="B232" s="83"/>
      <c r="C232" s="94"/>
      <c r="D232" s="94"/>
      <c r="E232" s="83"/>
    </row>
    <row r="233" spans="2:5">
      <c r="B233" s="83"/>
      <c r="C233" s="94"/>
      <c r="D233" s="94"/>
      <c r="E233" s="83"/>
    </row>
    <row r="234" spans="2:5">
      <c r="B234" s="83"/>
      <c r="C234" s="94"/>
      <c r="D234" s="94"/>
      <c r="E234" s="83"/>
    </row>
    <row r="235" spans="2:5">
      <c r="B235" s="83"/>
      <c r="C235" s="94"/>
      <c r="D235" s="94"/>
      <c r="E235" s="83"/>
    </row>
    <row r="236" spans="2:5">
      <c r="B236" s="83"/>
      <c r="C236" s="94"/>
      <c r="D236" s="94"/>
      <c r="E236" s="83"/>
    </row>
    <row r="237" spans="2:5">
      <c r="B237" s="83"/>
      <c r="C237" s="94"/>
      <c r="D237" s="94"/>
      <c r="E237" s="83"/>
    </row>
    <row r="238" spans="2:5">
      <c r="B238" s="83"/>
      <c r="C238" s="94"/>
      <c r="D238" s="94"/>
      <c r="E238" s="83"/>
    </row>
    <row r="239" spans="2:5">
      <c r="B239" s="83"/>
      <c r="C239" s="94"/>
      <c r="D239" s="94"/>
      <c r="E239" s="83"/>
    </row>
    <row r="240" spans="2:5">
      <c r="B240" s="83"/>
      <c r="C240" s="94"/>
      <c r="D240" s="94"/>
      <c r="E240" s="83"/>
    </row>
    <row r="241" spans="2:5">
      <c r="B241" s="83"/>
      <c r="C241" s="94"/>
      <c r="D241" s="94"/>
      <c r="E241" s="83"/>
    </row>
    <row r="242" spans="2:5">
      <c r="B242" s="83"/>
      <c r="C242" s="94"/>
      <c r="D242" s="94"/>
      <c r="E242" s="83"/>
    </row>
    <row r="243" spans="2:5">
      <c r="B243" s="83"/>
      <c r="C243" s="94"/>
      <c r="D243" s="94"/>
      <c r="E243" s="83"/>
    </row>
    <row r="244" spans="2:5">
      <c r="B244" s="83"/>
      <c r="C244" s="94"/>
      <c r="D244" s="94"/>
      <c r="E244" s="83"/>
    </row>
    <row r="245" spans="2:5">
      <c r="B245" s="83"/>
      <c r="C245" s="94"/>
      <c r="D245" s="94"/>
      <c r="E245" s="83"/>
    </row>
    <row r="246" spans="2:5">
      <c r="B246" s="83"/>
      <c r="C246" s="94"/>
      <c r="D246" s="94"/>
      <c r="E246" s="83"/>
    </row>
    <row r="247" spans="2:5">
      <c r="B247" s="83"/>
      <c r="C247" s="94"/>
      <c r="D247" s="94"/>
      <c r="E247" s="83"/>
    </row>
    <row r="248" spans="2:5">
      <c r="B248" s="83"/>
      <c r="C248" s="94"/>
      <c r="D248" s="94"/>
      <c r="E248" s="83"/>
    </row>
    <row r="249" spans="2:5">
      <c r="B249" s="83"/>
      <c r="C249" s="94"/>
      <c r="D249" s="94"/>
      <c r="E249" s="83"/>
    </row>
    <row r="250" spans="2:5">
      <c r="B250" s="83"/>
      <c r="C250" s="94"/>
      <c r="D250" s="94"/>
      <c r="E250" s="83"/>
    </row>
    <row r="251" spans="2:5">
      <c r="B251" s="83"/>
      <c r="C251" s="94"/>
      <c r="D251" s="94"/>
      <c r="E251" s="83"/>
    </row>
    <row r="252" spans="2:5">
      <c r="B252" s="83"/>
      <c r="C252" s="94"/>
      <c r="D252" s="94"/>
      <c r="E252" s="83"/>
    </row>
    <row r="253" spans="2:5">
      <c r="B253" s="83"/>
      <c r="C253" s="94"/>
      <c r="D253" s="94"/>
      <c r="E253" s="83"/>
    </row>
    <row r="254" spans="2:5">
      <c r="B254" s="83"/>
      <c r="C254" s="94"/>
      <c r="D254" s="94"/>
      <c r="E254" s="83"/>
    </row>
    <row r="255" spans="2:5">
      <c r="B255" s="83"/>
      <c r="C255" s="94"/>
      <c r="D255" s="94"/>
      <c r="E255" s="83"/>
    </row>
    <row r="256" spans="2:5">
      <c r="B256" s="83"/>
      <c r="C256" s="94"/>
      <c r="D256" s="94"/>
      <c r="E256" s="83"/>
    </row>
    <row r="257" spans="2:5">
      <c r="B257" s="83"/>
      <c r="C257" s="94"/>
      <c r="D257" s="94"/>
      <c r="E257" s="83"/>
    </row>
    <row r="258" spans="2:5">
      <c r="B258" s="83"/>
      <c r="C258" s="94"/>
      <c r="D258" s="94"/>
      <c r="E258" s="83"/>
    </row>
    <row r="259" spans="2:5">
      <c r="B259" s="83"/>
      <c r="C259" s="94"/>
      <c r="D259" s="94"/>
      <c r="E259" s="83"/>
    </row>
    <row r="260" spans="2:5">
      <c r="B260" s="83"/>
      <c r="C260" s="94"/>
      <c r="D260" s="94"/>
      <c r="E260" s="83"/>
    </row>
    <row r="261" spans="2:5">
      <c r="B261" s="83"/>
      <c r="C261" s="94"/>
      <c r="D261" s="94"/>
      <c r="E261" s="83"/>
    </row>
    <row r="262" spans="2:5">
      <c r="B262" s="83"/>
      <c r="C262" s="94"/>
      <c r="D262" s="94"/>
      <c r="E262" s="83"/>
    </row>
    <row r="263" spans="2:5">
      <c r="B263" s="83"/>
      <c r="C263" s="94"/>
      <c r="D263" s="94"/>
      <c r="E263" s="83"/>
    </row>
    <row r="264" spans="2:5">
      <c r="B264" s="83"/>
      <c r="C264" s="94"/>
      <c r="D264" s="94"/>
      <c r="E264" s="83"/>
    </row>
    <row r="265" spans="2:5">
      <c r="B265" s="83"/>
      <c r="C265" s="94"/>
      <c r="D265" s="94"/>
      <c r="E265" s="83"/>
    </row>
    <row r="266" spans="2:5">
      <c r="B266" s="83"/>
      <c r="C266" s="94"/>
      <c r="D266" s="94"/>
      <c r="E266" s="83"/>
    </row>
    <row r="267" spans="2:5">
      <c r="B267" s="83"/>
      <c r="C267" s="94"/>
      <c r="D267" s="94"/>
      <c r="E267" s="83"/>
    </row>
    <row r="268" spans="2:5">
      <c r="B268" s="83"/>
      <c r="C268" s="94"/>
      <c r="D268" s="94"/>
      <c r="E268" s="83"/>
    </row>
    <row r="269" spans="2:5">
      <c r="B269" s="83"/>
      <c r="C269" s="94"/>
      <c r="D269" s="94"/>
      <c r="E269" s="83"/>
    </row>
    <row r="270" spans="2:5">
      <c r="B270" s="83"/>
      <c r="C270" s="94"/>
      <c r="D270" s="94"/>
      <c r="E270" s="83"/>
    </row>
  </sheetData>
  <sheetProtection algorithmName="SHA-512" hashValue="6YjqvyKXSyTlf2gLT8AZ+u9Y75q4jXs32cYs8S4cteaVBqtuYLA0TvGKbxiE0v5204wty66KrjFkC9BNWeUPJw==" saltValue="z+iVQTXZh3bHHy9VWHSwsg==" spinCount="100000" sheet="1" objects="1" scenarios="1"/>
  <mergeCells count="4">
    <mergeCell ref="B1:D1"/>
    <mergeCell ref="B4:E4"/>
    <mergeCell ref="C2:E2"/>
    <mergeCell ref="A2:A3"/>
  </mergeCells>
  <phoneticPr fontId="4" type="noConversion"/>
  <conditionalFormatting sqref="B10:E10">
    <cfRule type="expression" dxfId="60" priority="1">
      <formula>ISNUMBER(SEARCH("error",B10))</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3">
        <x14:dataValidation type="list" allowBlank="1" showInputMessage="1" showErrorMessage="1" xr:uid="{50602E5B-3793-4EA0-A903-188A9EFA7568}">
          <x14:formula1>
            <xm:f>Lists!$U$2:$U$250</xm:f>
          </x14:formula1>
          <xm:sqref>D11:D50</xm:sqref>
        </x14:dataValidation>
        <x14:dataValidation type="list" allowBlank="1" showInputMessage="1" showErrorMessage="1" xr:uid="{560CAC31-DFB5-451D-A228-A4C8840FF9C1}">
          <x14:formula1>
            <xm:f>Lists!$AG$2:$AG$30</xm:f>
          </x14:formula1>
          <xm:sqref>C11:C50</xm:sqref>
        </x14:dataValidation>
        <x14:dataValidation type="list" allowBlank="1" showInputMessage="1" showErrorMessage="1" xr:uid="{3E3E2835-639A-4EC7-9FBD-DC18889EC701}">
          <x14:formula1>
            <xm:f>Lists!$AC$2:$AC$33</xm:f>
          </x14:formula1>
          <xm:sqref>B11:B50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A1A-00AA-4C9E-8B16-178B4C81A4A6}">
  <sheetPr codeName="Sheet36"/>
  <dimension ref="A1:CV14"/>
  <sheetViews>
    <sheetView topLeftCell="A2" zoomScale="90" zoomScaleNormal="90" workbookViewId="0">
      <selection activeCell="C2" sqref="C2:H2"/>
    </sheetView>
  </sheetViews>
  <sheetFormatPr defaultColWidth="15.42578125" defaultRowHeight="15"/>
  <cols>
    <col min="1" max="1" width="28.5703125" style="57" customWidth="1"/>
    <col min="2" max="2" width="27.7109375" customWidth="1"/>
    <col min="3" max="3" width="30" style="85" bestFit="1" customWidth="1"/>
    <col min="4" max="4" width="27.85546875" style="85" bestFit="1" customWidth="1"/>
    <col min="5" max="8" width="27.7109375" customWidth="1"/>
  </cols>
  <sheetData>
    <row r="1" spans="1:100" s="57" customFormat="1" ht="2.25" customHeight="1">
      <c r="A1" s="54"/>
      <c r="C1" s="122"/>
      <c r="D1"/>
      <c r="E1"/>
      <c r="F1"/>
    </row>
    <row r="2" spans="1:100" ht="75.75" customHeight="1">
      <c r="A2" s="187" t="s">
        <v>43</v>
      </c>
      <c r="B2" s="58" t="s">
        <v>384</v>
      </c>
      <c r="C2" s="190" t="s">
        <v>385</v>
      </c>
      <c r="D2" s="193"/>
      <c r="E2" s="190"/>
      <c r="F2" s="193"/>
      <c r="G2" s="190"/>
      <c r="H2" s="193"/>
    </row>
    <row r="3" spans="1:100" s="60" customFormat="1" ht="76.5" customHeight="1">
      <c r="A3" s="187"/>
      <c r="B3" s="59"/>
    </row>
    <row r="4" spans="1:100" s="57" customFormat="1" ht="24" customHeight="1">
      <c r="A4" s="61" t="s">
        <v>46</v>
      </c>
      <c r="B4" s="184" t="s">
        <v>385</v>
      </c>
      <c r="C4" s="184"/>
      <c r="D4" s="184"/>
      <c r="E4" s="184"/>
      <c r="F4" s="184"/>
      <c r="G4" s="185"/>
      <c r="H4" s="186"/>
    </row>
    <row r="5" spans="1:100" s="15" customFormat="1" ht="78.75" customHeight="1">
      <c r="A5" s="7" t="s">
        <v>50</v>
      </c>
      <c r="B5" s="99" t="s">
        <v>386</v>
      </c>
      <c r="C5" s="99" t="s">
        <v>387</v>
      </c>
      <c r="D5" s="99" t="s">
        <v>388</v>
      </c>
      <c r="E5" s="99" t="s">
        <v>389</v>
      </c>
      <c r="F5" s="99" t="s">
        <v>390</v>
      </c>
      <c r="G5" s="100" t="s">
        <v>391</v>
      </c>
      <c r="H5" s="101" t="s">
        <v>392</v>
      </c>
    </row>
    <row r="6" spans="1:100" ht="21" customHeight="1">
      <c r="A6" s="5" t="s">
        <v>80</v>
      </c>
      <c r="B6" s="69" t="s">
        <v>81</v>
      </c>
      <c r="C6" s="69" t="s">
        <v>82</v>
      </c>
      <c r="D6" s="69" t="s">
        <v>83</v>
      </c>
      <c r="E6" s="69" t="s">
        <v>84</v>
      </c>
      <c r="F6" s="69" t="s">
        <v>85</v>
      </c>
      <c r="G6" s="71" t="s">
        <v>86</v>
      </c>
      <c r="H6" s="115" t="s">
        <v>87</v>
      </c>
    </row>
    <row r="7" spans="1:100" s="16" customFormat="1" ht="15" customHeight="1">
      <c r="A7" s="6" t="s">
        <v>110</v>
      </c>
      <c r="B7" s="74" t="s">
        <v>149</v>
      </c>
      <c r="C7" s="74" t="s">
        <v>149</v>
      </c>
      <c r="D7" s="74" t="s">
        <v>149</v>
      </c>
      <c r="E7" s="74" t="s">
        <v>149</v>
      </c>
      <c r="F7" s="74" t="s">
        <v>149</v>
      </c>
      <c r="G7" s="75" t="s">
        <v>150</v>
      </c>
      <c r="H7" s="76" t="s">
        <v>150</v>
      </c>
    </row>
    <row r="8" spans="1:100" ht="15" customHeight="1">
      <c r="A8" s="6" t="s">
        <v>111</v>
      </c>
      <c r="B8" s="74" t="s">
        <v>151</v>
      </c>
      <c r="C8" s="74" t="s">
        <v>151</v>
      </c>
      <c r="D8" s="74" t="s">
        <v>151</v>
      </c>
      <c r="E8" s="74" t="s">
        <v>151</v>
      </c>
      <c r="F8" s="74" t="s">
        <v>151</v>
      </c>
      <c r="G8" s="75" t="s">
        <v>151</v>
      </c>
      <c r="H8" s="76" t="s">
        <v>151</v>
      </c>
    </row>
    <row r="9" spans="1:100" ht="15" customHeight="1">
      <c r="A9" s="6" t="s">
        <v>117</v>
      </c>
      <c r="B9" s="74"/>
      <c r="C9" s="74"/>
      <c r="D9" s="74"/>
      <c r="E9" s="74"/>
      <c r="F9" s="74"/>
      <c r="G9" s="75"/>
      <c r="H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80" t="str">
        <f>IFERROR(LOOKUP(2, 1/((Validations_ext!$B$2:$B$2004=$B$2)*(Validations_ext!$C$2:$C$2004=$G6)), Validations_ext!$J$2:$J$2004), "OK")</f>
        <v>OK</v>
      </c>
      <c r="H10" s="81" t="str">
        <f>IFERROR(LOOKUP(2, 1/((Validations_ext!$B$2:$B$2004=$B$2)*(Validations_ext!$C$2:$C$2004=$H6)), Validations_ext!$J$2:$J$2004), "OK")</f>
        <v>OK</v>
      </c>
    </row>
    <row r="11" spans="1:100" ht="31.5" customHeight="1">
      <c r="A11" s="4" t="s">
        <v>119</v>
      </c>
      <c r="B11" s="105"/>
      <c r="C11" s="105"/>
      <c r="D11" s="105"/>
      <c r="E11" s="105"/>
      <c r="F11" s="105"/>
      <c r="G11" s="105"/>
      <c r="H11" s="105"/>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B13" s="130"/>
      <c r="C13"/>
      <c r="D13"/>
    </row>
    <row r="14" spans="1:100">
      <c r="C14"/>
      <c r="D14"/>
    </row>
  </sheetData>
  <sheetProtection algorithmName="SHA-512" hashValue="J5jeL18j2QHYiMl5mKzOnfnpT7y0682HCByfFBUV69WO7bph5JRmwABBPEHqrMpLXaOotYqjisVmgjdvz7P8HA==" saltValue="mEEBFU/MSbIDZB1TKEGRDA==" spinCount="100000" sheet="1" objects="1" scenarios="1"/>
  <mergeCells count="3">
    <mergeCell ref="B4:H4"/>
    <mergeCell ref="C2:H2"/>
    <mergeCell ref="A2:A3"/>
  </mergeCells>
  <phoneticPr fontId="4" type="noConversion"/>
  <conditionalFormatting sqref="B10:H10">
    <cfRule type="expression" dxfId="7" priority="2">
      <formula>ISNUMBER(SEARCH("error",B10))</formula>
    </cfRule>
  </conditionalFormatting>
  <conditionalFormatting sqref="B12:H12">
    <cfRule type="expression" dxfId="6" priority="1">
      <formula>MOD(ROW(),2)=0</formula>
    </cfRule>
  </conditionalFormatting>
  <dataValidations count="1">
    <dataValidation type="whole" allowBlank="1" showDropDown="1" showInputMessage="1" showErrorMessage="1" error="Please enter a valid Integer" sqref="B11:H11" xr:uid="{65CBE446-F2A7-47B2-A5F5-FE5BC754DEFF}">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1BE19-E2A6-4FFC-A456-29D8C8D4DA2E}">
  <sheetPr codeName="Sheet37"/>
  <dimension ref="A1:CV14"/>
  <sheetViews>
    <sheetView zoomScale="85" zoomScaleNormal="85" workbookViewId="0">
      <selection activeCell="B11" sqref="B11"/>
    </sheetView>
  </sheetViews>
  <sheetFormatPr defaultColWidth="27.85546875" defaultRowHeight="15"/>
  <cols>
    <col min="1" max="1" width="28.5703125" style="57" customWidth="1"/>
    <col min="2" max="2" width="33.42578125" bestFit="1" customWidth="1"/>
    <col min="3" max="3" width="27.7109375" style="85" customWidth="1"/>
    <col min="4" max="4" width="62.140625" style="85" bestFit="1" customWidth="1"/>
    <col min="5" max="5" width="45.5703125" bestFit="1" customWidth="1"/>
    <col min="6" max="6" width="51.28515625" bestFit="1" customWidth="1"/>
    <col min="7" max="7" width="50.7109375" bestFit="1" customWidth="1"/>
    <col min="8" max="8" width="42" bestFit="1" customWidth="1"/>
    <col min="9" max="9" width="40.28515625" bestFit="1" customWidth="1"/>
    <col min="10" max="10" width="27.7109375" customWidth="1"/>
    <col min="11" max="11" width="29.28515625" bestFit="1" customWidth="1"/>
    <col min="12" max="12" width="27.7109375" customWidth="1"/>
    <col min="13" max="13" width="29.28515625" bestFit="1" customWidth="1"/>
    <col min="14" max="16" width="27.7109375" customWidth="1"/>
  </cols>
  <sheetData>
    <row r="1" spans="1:100" s="57" customFormat="1" ht="2.25" customHeight="1">
      <c r="A1" s="54"/>
      <c r="C1" s="122"/>
      <c r="D1"/>
      <c r="E1"/>
      <c r="F1"/>
    </row>
    <row r="2" spans="1:100" ht="75.75" customHeight="1">
      <c r="A2" s="187" t="s">
        <v>43</v>
      </c>
      <c r="B2" s="58" t="s">
        <v>393</v>
      </c>
      <c r="C2" s="190" t="s">
        <v>394</v>
      </c>
      <c r="D2" s="193"/>
      <c r="E2" s="190"/>
      <c r="F2" s="193"/>
      <c r="G2" s="190"/>
      <c r="H2" s="193"/>
      <c r="I2" s="190"/>
      <c r="J2" s="193"/>
    </row>
    <row r="3" spans="1:100" s="60" customFormat="1" ht="76.5" customHeight="1">
      <c r="A3" s="187"/>
      <c r="B3" s="59"/>
    </row>
    <row r="4" spans="1:100" s="57" customFormat="1" ht="24" customHeight="1">
      <c r="A4" s="61" t="s">
        <v>46</v>
      </c>
      <c r="B4" s="185" t="s">
        <v>395</v>
      </c>
      <c r="C4" s="186"/>
      <c r="D4" s="62" t="s">
        <v>396</v>
      </c>
      <c r="E4" s="184" t="s">
        <v>397</v>
      </c>
      <c r="F4" s="184"/>
      <c r="G4" s="184"/>
      <c r="H4" s="184"/>
      <c r="I4" s="184"/>
      <c r="J4" s="184"/>
      <c r="K4" s="184"/>
      <c r="L4" s="185"/>
      <c r="M4" s="186"/>
      <c r="N4" s="194" t="s">
        <v>398</v>
      </c>
      <c r="O4" s="185"/>
      <c r="P4" s="186"/>
    </row>
    <row r="5" spans="1:100" s="15" customFormat="1" ht="78.75" customHeight="1">
      <c r="A5" s="7" t="s">
        <v>50</v>
      </c>
      <c r="B5" s="100" t="s">
        <v>399</v>
      </c>
      <c r="C5" s="101" t="s">
        <v>400</v>
      </c>
      <c r="D5" s="102" t="s">
        <v>401</v>
      </c>
      <c r="E5" s="99" t="s">
        <v>402</v>
      </c>
      <c r="F5" s="99" t="s">
        <v>403</v>
      </c>
      <c r="G5" s="99" t="s">
        <v>404</v>
      </c>
      <c r="H5" s="99" t="s">
        <v>405</v>
      </c>
      <c r="I5" s="99" t="s">
        <v>406</v>
      </c>
      <c r="J5" s="99" t="s">
        <v>407</v>
      </c>
      <c r="K5" s="99" t="s">
        <v>408</v>
      </c>
      <c r="L5" s="100" t="s">
        <v>409</v>
      </c>
      <c r="M5" s="101" t="s">
        <v>410</v>
      </c>
      <c r="N5" s="102" t="s">
        <v>411</v>
      </c>
      <c r="O5" s="100" t="s">
        <v>412</v>
      </c>
      <c r="P5" s="101" t="s">
        <v>413</v>
      </c>
    </row>
    <row r="6" spans="1:100" ht="21" customHeight="1">
      <c r="A6" s="5" t="s">
        <v>80</v>
      </c>
      <c r="B6" s="71" t="s">
        <v>81</v>
      </c>
      <c r="C6" s="115" t="s">
        <v>82</v>
      </c>
      <c r="D6" s="73" t="s">
        <v>83</v>
      </c>
      <c r="E6" s="69" t="s">
        <v>84</v>
      </c>
      <c r="F6" s="69" t="s">
        <v>85</v>
      </c>
      <c r="G6" s="69" t="s">
        <v>86</v>
      </c>
      <c r="H6" s="69" t="s">
        <v>87</v>
      </c>
      <c r="I6" s="69" t="s">
        <v>88</v>
      </c>
      <c r="J6" s="69" t="s">
        <v>89</v>
      </c>
      <c r="K6" s="69" t="s">
        <v>90</v>
      </c>
      <c r="L6" s="71" t="s">
        <v>91</v>
      </c>
      <c r="M6" s="115" t="s">
        <v>92</v>
      </c>
      <c r="N6" s="73" t="s">
        <v>93</v>
      </c>
      <c r="O6" s="71" t="s">
        <v>94</v>
      </c>
      <c r="P6" s="115" t="s">
        <v>95</v>
      </c>
    </row>
    <row r="7" spans="1:100" s="16" customFormat="1" ht="15" customHeight="1">
      <c r="A7" s="6" t="s">
        <v>110</v>
      </c>
      <c r="B7" s="75"/>
      <c r="C7" s="76"/>
      <c r="D7" s="77" t="s">
        <v>150</v>
      </c>
      <c r="E7" s="74"/>
      <c r="F7" s="74"/>
      <c r="G7" s="74"/>
      <c r="H7" s="74"/>
      <c r="I7" s="74"/>
      <c r="J7" s="74" t="s">
        <v>149</v>
      </c>
      <c r="K7" s="74" t="s">
        <v>150</v>
      </c>
      <c r="L7" s="75" t="s">
        <v>150</v>
      </c>
      <c r="M7" s="76" t="s">
        <v>150</v>
      </c>
      <c r="N7" s="77" t="s">
        <v>150</v>
      </c>
      <c r="O7" s="75" t="s">
        <v>150</v>
      </c>
      <c r="P7" s="76" t="s">
        <v>150</v>
      </c>
    </row>
    <row r="8" spans="1:100" ht="15" customHeight="1">
      <c r="A8" s="6" t="s">
        <v>111</v>
      </c>
      <c r="B8" s="75" t="s">
        <v>116</v>
      </c>
      <c r="C8" s="76" t="s">
        <v>414</v>
      </c>
      <c r="D8" s="77" t="s">
        <v>348</v>
      </c>
      <c r="E8" s="74" t="s">
        <v>116</v>
      </c>
      <c r="F8" s="74" t="s">
        <v>116</v>
      </c>
      <c r="G8" s="74" t="s">
        <v>116</v>
      </c>
      <c r="H8" s="74" t="s">
        <v>116</v>
      </c>
      <c r="I8" s="74" t="s">
        <v>116</v>
      </c>
      <c r="J8" s="74" t="s">
        <v>151</v>
      </c>
      <c r="K8" s="74" t="s">
        <v>348</v>
      </c>
      <c r="L8" s="75" t="s">
        <v>151</v>
      </c>
      <c r="M8" s="76" t="s">
        <v>151</v>
      </c>
      <c r="N8" s="77" t="s">
        <v>116</v>
      </c>
      <c r="O8" s="75" t="s">
        <v>348</v>
      </c>
      <c r="P8" s="76" t="s">
        <v>151</v>
      </c>
    </row>
    <row r="9" spans="1:100" ht="15" customHeight="1">
      <c r="A9" s="6" t="s">
        <v>117</v>
      </c>
      <c r="B9" s="75"/>
      <c r="C9" s="76"/>
      <c r="D9" s="77"/>
      <c r="E9" s="74"/>
      <c r="F9" s="74"/>
      <c r="G9" s="74"/>
      <c r="H9" s="74"/>
      <c r="I9" s="74"/>
      <c r="J9" s="74"/>
      <c r="K9" s="74"/>
      <c r="L9" s="75"/>
      <c r="M9" s="76"/>
      <c r="N9" s="77"/>
      <c r="O9" s="75"/>
      <c r="P9" s="76"/>
    </row>
    <row r="10" spans="1:100" s="15" customFormat="1" ht="98.25" customHeight="1">
      <c r="A10" s="6" t="s">
        <v>118</v>
      </c>
      <c r="B10" s="80" t="str">
        <f>IFERROR(LOOKUP(2, 1/((Validations_ext!$B$2:$B$2004=$B$2)*(Validations_ext!$C$2:$C$2004=$B6)), Validations_ext!$J$2:$J$2004), "OK")</f>
        <v>OK</v>
      </c>
      <c r="C10" s="81" t="str">
        <f>IFERROR(LOOKUP(2, 1/((Validations_ext!$B$2:$B$2004=$B$2)*(Validations_ext!$C$2:$C$2004=$C6)), Validations_ext!$J$2:$J$2004), "OK")</f>
        <v>OK</v>
      </c>
      <c r="D10" s="82"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78" t="str">
        <f>IFERROR(LOOKUP(2, 1/((Validations_ext!$B$2:$B$2004=$B$2)*(Validations_ext!$C$2:$C$2004=$G6)), Validations_ext!$J$2:$J$2004), "OK")</f>
        <v>OK</v>
      </c>
      <c r="H10" s="78" t="str">
        <f>IFERROR(LOOKUP(2, 1/((Validations_ext!$B$2:$B$2004=$B$2)*(Validations_ext!$C$2:$C$2004=$H6)), Validations_ext!$J$2:$J$2004), "OK")</f>
        <v>OK</v>
      </c>
      <c r="I10" s="78" t="str">
        <f>IFERROR(LOOKUP(2, 1/((Validations_ext!$B$2:$B$2004=$B$2)*(Validations_ext!$C$2:$C$2004=$I6)), Validations_ext!$J$2:$J$2004), "OK")</f>
        <v>OK</v>
      </c>
      <c r="J10" s="78" t="str">
        <f>IFERROR(LOOKUP(2, 1/((Validations_ext!$B$2:$B$2004=$B$2)*(Validations_ext!$C$2:$C$2004=$J6)), Validations_ext!$J$2:$J$2004), "OK")</f>
        <v>OK</v>
      </c>
      <c r="K10" s="78" t="str">
        <f>IFERROR(LOOKUP(2, 1/((Validations_ext!$B$2:$B$2004=$B$2)*(Validations_ext!$C$2:$C$2004=$K6)), Validations_ext!$J$2:$J$2004), "OK")</f>
        <v>OK</v>
      </c>
      <c r="L10" s="80" t="str">
        <f>IFERROR(LOOKUP(2, 1/((Validations_ext!$B$2:$B$2004=$B$2)*(Validations_ext!$C$2:$C$2004=$L6)), Validations_ext!$J$2:$J$2004), "OK")</f>
        <v>OK</v>
      </c>
      <c r="M10" s="81" t="str">
        <f>IFERROR(LOOKUP(2, 1/((Validations_ext!$B$2:$B$2004=$B$2)*(Validations_ext!$C$2:$C$2004=$M6)), Validations_ext!$J$2:$J$2004), "OK")</f>
        <v>OK</v>
      </c>
      <c r="N10" s="82" t="str">
        <f>IFERROR(LOOKUP(2, 1/((Validations_ext!$B$2:$B$2004=$B$2)*(Validations_ext!$C$2:$C$2004=$N6)), Validations_ext!$J$2:$J$2004), "OK")</f>
        <v>OK</v>
      </c>
      <c r="O10" s="80" t="str">
        <f>IFERROR(LOOKUP(2, 1/((Validations_ext!$B$2:$B$2004=$B$2)*(Validations_ext!$C$2:$C$2004=$O6)), Validations_ext!$J$2:$J$2004), "OK")</f>
        <v>OK</v>
      </c>
      <c r="P10" s="81" t="str">
        <f>IFERROR(LOOKUP(2, 1/((Validations_ext!$B$2:$B$2004=$B$2)*(Validations_ext!$C$2:$C$2004=$P6)), Validations_ext!$J$2:$J$2004), "OK")</f>
        <v>OK</v>
      </c>
    </row>
    <row r="11" spans="1:100" ht="31.5" customHeight="1">
      <c r="A11" s="4" t="s">
        <v>119</v>
      </c>
      <c r="B11" s="88"/>
      <c r="C11" s="88"/>
      <c r="D11" s="108"/>
      <c r="E11" s="88"/>
      <c r="F11" s="88"/>
      <c r="G11" s="88"/>
      <c r="H11" s="88"/>
      <c r="I11" s="88"/>
      <c r="J11" s="105"/>
      <c r="K11" s="108"/>
      <c r="L11" s="105"/>
      <c r="M11" s="105"/>
      <c r="N11" s="88"/>
      <c r="O11" s="108"/>
      <c r="P11" s="105"/>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B13" s="130"/>
      <c r="C13"/>
      <c r="D13"/>
      <c r="N13" s="201"/>
      <c r="O13" s="201"/>
    </row>
    <row r="14" spans="1:100">
      <c r="C14"/>
      <c r="D14"/>
    </row>
  </sheetData>
  <sheetProtection algorithmName="SHA-512" hashValue="1SzdBNp8jrOwb8yRrymu/BBx3UBjFHg2XC2Eh+X0TyCXOBf9TPXeDMscKNBv394IJX7vSxR3Kuzxxn0PB4dNFQ==" saltValue="AipMTqwEgmv/y/mutbwaww==" spinCount="100000" sheet="1" objects="1" scenarios="1"/>
  <mergeCells count="6">
    <mergeCell ref="A2:A3"/>
    <mergeCell ref="N13:O13"/>
    <mergeCell ref="C2:J2"/>
    <mergeCell ref="B4:C4"/>
    <mergeCell ref="E4:M4"/>
    <mergeCell ref="N4:P4"/>
  </mergeCells>
  <phoneticPr fontId="4" type="noConversion"/>
  <conditionalFormatting sqref="B10:P10">
    <cfRule type="expression" dxfId="5" priority="2">
      <formula>ISNUMBER(SEARCH("error",B10))</formula>
    </cfRule>
  </conditionalFormatting>
  <conditionalFormatting sqref="B12:P12">
    <cfRule type="expression" dxfId="4" priority="1">
      <formula>MOD(ROW(),2)=0</formula>
    </cfRule>
  </conditionalFormatting>
  <dataValidations count="2">
    <dataValidation type="decimal" allowBlank="1" showDropDown="1" showInputMessage="1" showErrorMessage="1" error="Please enter a valid Decimal Number" sqref="D11 O11 K11" xr:uid="{217F7834-5273-409E-85B5-2CCC2C33CED9}">
      <formula1>-999999999999999</formula1>
      <formula2>999999999999999</formula2>
    </dataValidation>
    <dataValidation type="whole" allowBlank="1" showDropDown="1" showInputMessage="1" showErrorMessage="1" error="Please enter a valid Integer" sqref="J11 P11 L11:M11" xr:uid="{FF5A8442-1EA8-4347-9B90-0132ED007A27}">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extLst>
    <ext xmlns:x14="http://schemas.microsoft.com/office/spreadsheetml/2009/9/main" uri="{CCE6A557-97BC-4b89-ADB6-D9C93CAAB3DF}">
      <x14:dataValidations xmlns:xm="http://schemas.microsoft.com/office/excel/2006/main" count="2">
        <x14:dataValidation type="list" allowBlank="1" showInputMessage="1" showErrorMessage="1" xr:uid="{1B59FB80-3A36-4F8F-BA16-627F6242C909}">
          <x14:formula1>
            <xm:f>Lists!$Y$2:$Y$3</xm:f>
          </x14:formula1>
          <xm:sqref>I11 B11 E11 F11 G11 H11 N11</xm:sqref>
        </x14:dataValidation>
        <x14:dataValidation type="list" allowBlank="1" showInputMessage="1" showErrorMessage="1" xr:uid="{AE06C333-1DC0-4E60-AD2F-C0BF6B11BA6E}">
          <x14:formula1>
            <xm:f>Lists!$AS$2:$AS$3</xm:f>
          </x14:formula1>
          <xm:sqref>C11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D95F-9DFD-47C9-A622-6FE08F97DC29}">
  <sheetPr codeName="Sheet38"/>
  <dimension ref="A1:CV14"/>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5" width="27.7109375" customWidth="1"/>
  </cols>
  <sheetData>
    <row r="1" spans="1:100" s="57" customFormat="1" ht="2.25" customHeight="1">
      <c r="A1" s="54"/>
      <c r="C1" s="122"/>
      <c r="D1"/>
      <c r="E1"/>
    </row>
    <row r="2" spans="1:100" ht="75.75" customHeight="1">
      <c r="A2" s="187" t="s">
        <v>43</v>
      </c>
      <c r="B2" s="58" t="s">
        <v>415</v>
      </c>
      <c r="C2" s="190" t="s">
        <v>416</v>
      </c>
      <c r="D2" s="193"/>
      <c r="E2" s="190"/>
    </row>
    <row r="3" spans="1:100" s="60" customFormat="1" ht="76.5" customHeight="1">
      <c r="A3" s="187"/>
      <c r="B3" s="59"/>
    </row>
    <row r="4" spans="1:100" s="57" customFormat="1" ht="24" customHeight="1">
      <c r="A4" s="61" t="s">
        <v>46</v>
      </c>
      <c r="B4" s="184" t="s">
        <v>416</v>
      </c>
      <c r="C4" s="184"/>
      <c r="D4" s="185"/>
      <c r="E4" s="186"/>
    </row>
    <row r="5" spans="1:100" s="15" customFormat="1" ht="78.75" customHeight="1">
      <c r="A5" s="7" t="s">
        <v>50</v>
      </c>
      <c r="B5" s="99" t="s">
        <v>417</v>
      </c>
      <c r="C5" s="99" t="s">
        <v>418</v>
      </c>
      <c r="D5" s="100" t="s">
        <v>419</v>
      </c>
      <c r="E5" s="101" t="s">
        <v>420</v>
      </c>
    </row>
    <row r="6" spans="1:100" ht="21" customHeight="1">
      <c r="A6" s="5" t="s">
        <v>80</v>
      </c>
      <c r="B6" s="69" t="s">
        <v>81</v>
      </c>
      <c r="C6" s="69" t="s">
        <v>82</v>
      </c>
      <c r="D6" s="71" t="s">
        <v>83</v>
      </c>
      <c r="E6" s="115" t="s">
        <v>84</v>
      </c>
    </row>
    <row r="7" spans="1:100" s="16" customFormat="1" ht="15" customHeight="1">
      <c r="A7" s="6" t="s">
        <v>110</v>
      </c>
      <c r="B7" s="74" t="s">
        <v>149</v>
      </c>
      <c r="C7" s="74" t="s">
        <v>150</v>
      </c>
      <c r="D7" s="75" t="s">
        <v>150</v>
      </c>
      <c r="E7" s="76" t="s">
        <v>150</v>
      </c>
    </row>
    <row r="8" spans="1:100" ht="15" customHeight="1">
      <c r="A8" s="6" t="s">
        <v>111</v>
      </c>
      <c r="B8" s="74" t="s">
        <v>151</v>
      </c>
      <c r="C8" s="74" t="s">
        <v>151</v>
      </c>
      <c r="D8" s="75" t="s">
        <v>151</v>
      </c>
      <c r="E8" s="76" t="s">
        <v>198</v>
      </c>
    </row>
    <row r="9" spans="1:100" ht="15" customHeight="1">
      <c r="A9" s="6" t="s">
        <v>117</v>
      </c>
      <c r="B9" s="74"/>
      <c r="C9" s="74"/>
      <c r="D9" s="75"/>
      <c r="E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80" t="str">
        <f>IFERROR(LOOKUP(2, 1/((Validations_ext!$B$2:$B$2004=$B$2)*(Validations_ext!$C$2:$C$2004=$D6)), Validations_ext!$J$2:$J$2004), "OK")</f>
        <v>OK</v>
      </c>
      <c r="E10" s="81" t="str">
        <f>IFERROR(LOOKUP(2, 1/((Validations_ext!$B$2:$B$2004=$B$2)*(Validations_ext!$C$2:$C$2004=$E6)), Validations_ext!$J$2:$J$2004), "OK")</f>
        <v>OK</v>
      </c>
    </row>
    <row r="11" spans="1:100" ht="31.5" customHeight="1">
      <c r="A11" s="4" t="s">
        <v>119</v>
      </c>
      <c r="B11" s="105"/>
      <c r="C11" s="105"/>
      <c r="D11" s="105"/>
      <c r="E11" s="108"/>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B13" s="130"/>
      <c r="C13"/>
      <c r="D13"/>
    </row>
    <row r="14" spans="1:100">
      <c r="C14"/>
      <c r="D14"/>
    </row>
  </sheetData>
  <sheetProtection algorithmName="SHA-512" hashValue="XyavvZXm8mvfDVzjFMAy7Buxm3i911L69rSk2Y3KDJqxGoR89W7DYtPer3WloltcAtvL7/tk8a+tyXa/Jaa0nQ==" saltValue="ceNS1qDx1EWygIIi0KoScQ==" spinCount="100000" sheet="1" objects="1" scenarios="1"/>
  <mergeCells count="3">
    <mergeCell ref="B4:E4"/>
    <mergeCell ref="C2:E2"/>
    <mergeCell ref="A2:A3"/>
  </mergeCells>
  <conditionalFormatting sqref="B10:E10">
    <cfRule type="expression" dxfId="3" priority="2">
      <formula>ISNUMBER(SEARCH("error",B10))</formula>
    </cfRule>
  </conditionalFormatting>
  <conditionalFormatting sqref="B12:E12">
    <cfRule type="expression" dxfId="2" priority="1">
      <formula>MOD(ROW(),2)=0</formula>
    </cfRule>
  </conditionalFormatting>
  <dataValidations count="2">
    <dataValidation type="whole" allowBlank="1" showDropDown="1" showInputMessage="1" showErrorMessage="1" error="Please enter a valid Integer" sqref="B11:D11" xr:uid="{E105F1F0-3443-4394-BD74-C3153B42E74E}">
      <formula1>-999999999999999</formula1>
      <formula2>999999999999999</formula2>
    </dataValidation>
    <dataValidation type="decimal" allowBlank="1" showDropDown="1" showInputMessage="1" showErrorMessage="1" error="Please enter the % as a decimal number between 0 and 1." sqref="E11" xr:uid="{5BF667B6-4B08-410A-8F2D-0679C79953BB}">
      <formula1>0</formula1>
      <formula2>1</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76F44-CF40-4A07-9DF1-67FDD333DEC2}">
  <sheetPr codeName="Sheet39"/>
  <dimension ref="A1:CV14"/>
  <sheetViews>
    <sheetView tabSelected="1" topLeftCell="A2" zoomScale="90" zoomScaleNormal="90" workbookViewId="0"/>
  </sheetViews>
  <sheetFormatPr defaultColWidth="15.42578125" defaultRowHeight="15"/>
  <cols>
    <col min="1" max="1" width="28.5703125" style="57" customWidth="1"/>
    <col min="2" max="2" width="27.7109375" customWidth="1"/>
    <col min="3" max="3" width="33" style="85" bestFit="1" customWidth="1"/>
    <col min="4" max="4" width="27.7109375" style="85" customWidth="1"/>
    <col min="5" max="5" width="54.42578125" bestFit="1" customWidth="1"/>
    <col min="6" max="6" width="33" bestFit="1" customWidth="1"/>
    <col min="7" max="7" width="31" bestFit="1" customWidth="1"/>
    <col min="8" max="9" width="27.7109375" customWidth="1"/>
  </cols>
  <sheetData>
    <row r="1" spans="1:100" s="57" customFormat="1" ht="2.25" customHeight="1">
      <c r="A1" s="54"/>
      <c r="C1" s="122"/>
      <c r="D1"/>
      <c r="E1"/>
      <c r="F1"/>
    </row>
    <row r="2" spans="1:100" ht="75.75" customHeight="1">
      <c r="A2" s="187" t="s">
        <v>43</v>
      </c>
      <c r="B2" s="133" t="s">
        <v>421</v>
      </c>
      <c r="C2" s="202" t="s">
        <v>422</v>
      </c>
      <c r="D2" s="202"/>
      <c r="E2" s="202"/>
      <c r="F2" s="202"/>
      <c r="G2" s="202"/>
      <c r="H2" s="202"/>
      <c r="I2" s="202"/>
    </row>
    <row r="3" spans="1:100" s="60" customFormat="1" ht="76.5" customHeight="1">
      <c r="A3" s="187"/>
      <c r="B3" s="59"/>
    </row>
    <row r="4" spans="1:100" s="57" customFormat="1" ht="24" customHeight="1">
      <c r="A4" s="61" t="s">
        <v>46</v>
      </c>
      <c r="B4" s="184" t="s">
        <v>423</v>
      </c>
      <c r="C4" s="184"/>
      <c r="D4" s="184"/>
      <c r="E4" s="184"/>
      <c r="F4" s="184"/>
      <c r="G4" s="184"/>
      <c r="H4" s="185"/>
      <c r="I4" s="186"/>
    </row>
    <row r="5" spans="1:100" s="15" customFormat="1" ht="78.75" customHeight="1">
      <c r="A5" s="7" t="s">
        <v>50</v>
      </c>
      <c r="B5" s="99" t="s">
        <v>424</v>
      </c>
      <c r="C5" s="99" t="s">
        <v>425</v>
      </c>
      <c r="D5" s="99" t="s">
        <v>426</v>
      </c>
      <c r="E5" s="99" t="s">
        <v>427</v>
      </c>
      <c r="F5" s="99" t="s">
        <v>428</v>
      </c>
      <c r="G5" s="99" t="s">
        <v>429</v>
      </c>
      <c r="H5" s="100" t="s">
        <v>430</v>
      </c>
      <c r="I5" s="101" t="s">
        <v>431</v>
      </c>
    </row>
    <row r="6" spans="1:100" ht="21" customHeight="1">
      <c r="A6" s="5" t="s">
        <v>80</v>
      </c>
      <c r="B6" s="69" t="s">
        <v>81</v>
      </c>
      <c r="C6" s="69" t="s">
        <v>82</v>
      </c>
      <c r="D6" s="69" t="s">
        <v>83</v>
      </c>
      <c r="E6" s="69" t="s">
        <v>84</v>
      </c>
      <c r="F6" s="69" t="s">
        <v>85</v>
      </c>
      <c r="G6" s="69" t="s">
        <v>86</v>
      </c>
      <c r="H6" s="71" t="s">
        <v>87</v>
      </c>
      <c r="I6" s="115" t="s">
        <v>88</v>
      </c>
    </row>
    <row r="7" spans="1:100" s="16" customFormat="1" ht="15" customHeight="1">
      <c r="A7" s="6" t="s">
        <v>110</v>
      </c>
      <c r="B7" s="74" t="s">
        <v>150</v>
      </c>
      <c r="C7" s="74" t="s">
        <v>150</v>
      </c>
      <c r="D7" s="74" t="s">
        <v>150</v>
      </c>
      <c r="E7" s="74" t="s">
        <v>150</v>
      </c>
      <c r="F7" s="74" t="s">
        <v>150</v>
      </c>
      <c r="G7" s="74" t="s">
        <v>150</v>
      </c>
      <c r="H7" s="75" t="s">
        <v>150</v>
      </c>
      <c r="I7" s="76" t="s">
        <v>150</v>
      </c>
    </row>
    <row r="8" spans="1:100" ht="15" customHeight="1">
      <c r="A8" s="6" t="s">
        <v>111</v>
      </c>
      <c r="B8" s="74" t="s">
        <v>198</v>
      </c>
      <c r="C8" s="74" t="s">
        <v>198</v>
      </c>
      <c r="D8" s="74" t="s">
        <v>198</v>
      </c>
      <c r="E8" s="74" t="s">
        <v>198</v>
      </c>
      <c r="F8" s="74" t="s">
        <v>198</v>
      </c>
      <c r="G8" s="74" t="s">
        <v>198</v>
      </c>
      <c r="H8" s="75" t="s">
        <v>151</v>
      </c>
      <c r="I8" s="76" t="s">
        <v>151</v>
      </c>
    </row>
    <row r="9" spans="1:100" ht="15" customHeight="1">
      <c r="A9" s="6" t="s">
        <v>117</v>
      </c>
      <c r="B9" s="74"/>
      <c r="C9" s="74"/>
      <c r="D9" s="74"/>
      <c r="E9" s="74"/>
      <c r="F9" s="74"/>
      <c r="G9" s="74"/>
      <c r="H9" s="75"/>
      <c r="I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78" t="str">
        <f>IFERROR(LOOKUP(2, 1/((Validations_ext!$B$2:$B$2004=$B$2)*(Validations_ext!$C$2:$C$2004=$G6)), Validations_ext!$J$2:$J$2004), "OK")</f>
        <v>OK</v>
      </c>
      <c r="H10" s="80" t="str">
        <f>IFERROR(LOOKUP(2, 1/((Validations_ext!$B$2:$B$2004=$B$2)*(Validations_ext!$C$2:$C$2004=$H6)), Validations_ext!$J$2:$J$2004), "OK")</f>
        <v>OK</v>
      </c>
      <c r="I10" s="81" t="str">
        <f>IFERROR(LOOKUP(2, 1/((Validations_ext!$B$2:$B$2004=$B$2)*(Validations_ext!$C$2:$C$2004=$I6)), Validations_ext!$J$2:$J$2004), "OK")</f>
        <v>OK</v>
      </c>
    </row>
    <row r="11" spans="1:100" ht="31.5" customHeight="1">
      <c r="A11" s="4" t="s">
        <v>119</v>
      </c>
      <c r="B11" s="108"/>
      <c r="C11" s="108"/>
      <c r="D11" s="108"/>
      <c r="E11" s="108"/>
      <c r="F11" s="108"/>
      <c r="G11" s="108"/>
      <c r="H11" s="105"/>
      <c r="I11" s="105"/>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row>
    <row r="13" spans="1:100">
      <c r="B13" s="130"/>
      <c r="C13"/>
      <c r="D13"/>
    </row>
    <row r="14" spans="1:100">
      <c r="C14"/>
      <c r="D14"/>
    </row>
  </sheetData>
  <sheetProtection algorithmName="SHA-512" hashValue="b5Ns/Lby6C2lMq0YuH56CiFlY4AHRVB/JVbWSGKJcDU6WHp6N0p7j0DqkABnzIhVWDV7qiqPjSOWTH6GOb//cQ==" saltValue="94+OrUqdoB7rXRYA+mYF6Q==" spinCount="100000" sheet="1" objects="1" scenarios="1"/>
  <mergeCells count="3">
    <mergeCell ref="C2:I2"/>
    <mergeCell ref="B4:I4"/>
    <mergeCell ref="A2:A3"/>
  </mergeCells>
  <conditionalFormatting sqref="B10:I10">
    <cfRule type="expression" dxfId="1" priority="2">
      <formula>ISNUMBER(SEARCH("error",B10))</formula>
    </cfRule>
  </conditionalFormatting>
  <conditionalFormatting sqref="B12:I12">
    <cfRule type="expression" dxfId="0" priority="1">
      <formula>MOD(ROW(),2)=0</formula>
    </cfRule>
  </conditionalFormatting>
  <dataValidations count="2">
    <dataValidation type="decimal" allowBlank="1" showDropDown="1" showInputMessage="1" showErrorMessage="1" error="Please enter the % as a decimal number between 0 and 1." sqref="B11:G11" xr:uid="{EFD2D91C-A1C5-4BDB-AEB6-5C6AAC228565}">
      <formula1>0</formula1>
      <formula2>1</formula2>
    </dataValidation>
    <dataValidation type="whole" allowBlank="1" showDropDown="1" showInputMessage="1" showErrorMessage="1" error="Please enter a valid Integer" sqref="H11:I11" xr:uid="{458A98EA-28FA-46F5-9E33-C62961D803DB}">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57BE-0362-451E-A1FB-4294B7410610}">
  <sheetPr codeName="Sheet8"/>
  <dimension ref="A1:T41"/>
  <sheetViews>
    <sheetView workbookViewId="0"/>
  </sheetViews>
  <sheetFormatPr defaultColWidth="9.140625" defaultRowHeight="15"/>
  <cols>
    <col min="1" max="1" width="9.140625" style="57"/>
    <col min="2" max="2" width="10.5703125" style="57" customWidth="1"/>
    <col min="3" max="3" width="15" style="57" customWidth="1"/>
    <col min="4" max="4" width="52.28515625" style="57" customWidth="1"/>
    <col min="5" max="11" width="15.42578125" style="63" customWidth="1"/>
    <col min="12" max="12" width="17.42578125" style="63" customWidth="1"/>
    <col min="13" max="14" width="15.42578125" style="63" customWidth="1"/>
    <col min="15" max="16384" width="9.140625" style="57"/>
  </cols>
  <sheetData>
    <row r="1" spans="1:14" ht="81.95" customHeight="1"/>
    <row r="2" spans="1:14" customFormat="1" ht="20.100000000000001" customHeight="1">
      <c r="A2" s="57"/>
      <c r="B2" s="57"/>
      <c r="C2" s="57"/>
      <c r="D2" s="134" t="s">
        <v>432</v>
      </c>
      <c r="E2" s="206" t="s">
        <v>433</v>
      </c>
      <c r="F2" s="206"/>
      <c r="G2" s="206"/>
      <c r="H2" s="206"/>
      <c r="I2" s="63"/>
      <c r="J2" s="63"/>
      <c r="K2" s="63"/>
      <c r="L2" s="63"/>
      <c r="M2" s="63"/>
      <c r="N2" s="63"/>
    </row>
    <row r="3" spans="1:14" ht="33.75">
      <c r="D3" s="207" t="s">
        <v>434</v>
      </c>
      <c r="E3" s="207"/>
      <c r="F3" s="207"/>
      <c r="G3" s="207"/>
      <c r="H3" s="207"/>
      <c r="I3" s="207"/>
      <c r="J3" s="207"/>
      <c r="K3" s="207"/>
      <c r="L3" s="207"/>
      <c r="M3" s="207"/>
      <c r="N3" s="207"/>
    </row>
    <row r="4" spans="1:14">
      <c r="D4" s="208" t="s">
        <v>435</v>
      </c>
      <c r="E4" s="209"/>
      <c r="F4" s="209"/>
      <c r="G4" s="209"/>
      <c r="H4" s="209"/>
      <c r="I4" s="209"/>
      <c r="J4" s="209"/>
      <c r="K4" s="209"/>
      <c r="L4" s="209"/>
      <c r="M4" s="209"/>
      <c r="N4" s="209"/>
    </row>
    <row r="5" spans="1:14">
      <c r="D5" s="209"/>
      <c r="E5" s="209"/>
      <c r="F5" s="209"/>
      <c r="G5" s="209"/>
      <c r="H5" s="209"/>
      <c r="I5" s="209"/>
      <c r="J5" s="209"/>
      <c r="K5" s="209"/>
      <c r="L5" s="209"/>
      <c r="M5" s="209"/>
      <c r="N5" s="209"/>
    </row>
    <row r="6" spans="1:14">
      <c r="D6" s="209"/>
      <c r="E6" s="209"/>
      <c r="F6" s="209"/>
      <c r="G6" s="209"/>
      <c r="H6" s="209"/>
      <c r="I6" s="209"/>
      <c r="J6" s="209"/>
      <c r="K6" s="209"/>
      <c r="L6" s="209"/>
      <c r="M6" s="209"/>
      <c r="N6" s="209"/>
    </row>
    <row r="7" spans="1:14" ht="64.5" customHeight="1">
      <c r="D7" s="209"/>
      <c r="E7" s="209"/>
      <c r="F7" s="209"/>
      <c r="G7" s="209"/>
      <c r="H7" s="209"/>
      <c r="I7" s="209"/>
      <c r="J7" s="209"/>
      <c r="K7" s="209"/>
      <c r="L7" s="209"/>
      <c r="M7" s="209"/>
      <c r="N7" s="209"/>
    </row>
    <row r="8" spans="1:14" ht="90.6" customHeight="1">
      <c r="B8" s="135" t="s">
        <v>436</v>
      </c>
      <c r="C8" s="136" t="s">
        <v>4</v>
      </c>
      <c r="D8" s="137" t="s">
        <v>5</v>
      </c>
      <c r="E8" s="137" t="s">
        <v>437</v>
      </c>
      <c r="F8" s="137" t="s">
        <v>438</v>
      </c>
      <c r="G8" s="137" t="s">
        <v>439</v>
      </c>
      <c r="H8" s="137" t="s">
        <v>440</v>
      </c>
      <c r="I8" s="137" t="s">
        <v>441</v>
      </c>
      <c r="J8" s="137" t="s">
        <v>442</v>
      </c>
      <c r="K8" s="137" t="s">
        <v>443</v>
      </c>
      <c r="L8" s="137" t="s">
        <v>444</v>
      </c>
      <c r="M8" s="137" t="s">
        <v>445</v>
      </c>
      <c r="N8" s="137" t="s">
        <v>446</v>
      </c>
    </row>
    <row r="9" spans="1:14" ht="14.25" customHeight="1">
      <c r="B9" s="138" t="s">
        <v>44</v>
      </c>
      <c r="C9" s="181" t="s">
        <v>12</v>
      </c>
      <c r="D9" s="139" t="s">
        <v>45</v>
      </c>
      <c r="E9" s="1" t="str">
        <f t="shared" ref="E9:N9" si="0">HYPERLINK("#AML.01.01!$A$1", "AML.01.01")</f>
        <v>AML.01.01</v>
      </c>
      <c r="F9" s="1" t="str">
        <f t="shared" si="0"/>
        <v>AML.01.01</v>
      </c>
      <c r="G9" s="1" t="str">
        <f t="shared" si="0"/>
        <v>AML.01.01</v>
      </c>
      <c r="H9" s="1" t="str">
        <f t="shared" si="0"/>
        <v>AML.01.01</v>
      </c>
      <c r="I9" s="1" t="str">
        <f t="shared" si="0"/>
        <v>AML.01.01</v>
      </c>
      <c r="J9" s="1" t="str">
        <f t="shared" si="0"/>
        <v>AML.01.01</v>
      </c>
      <c r="K9" s="1" t="str">
        <f t="shared" si="0"/>
        <v>AML.01.01</v>
      </c>
      <c r="L9" s="1" t="str">
        <f t="shared" si="0"/>
        <v>AML.01.01</v>
      </c>
      <c r="M9" s="1" t="str">
        <f t="shared" si="0"/>
        <v>AML.01.01</v>
      </c>
      <c r="N9" s="1" t="str">
        <f t="shared" si="0"/>
        <v>AML.01.01</v>
      </c>
    </row>
    <row r="10" spans="1:14" ht="14.25" customHeight="1">
      <c r="B10" s="138" t="s">
        <v>120</v>
      </c>
      <c r="C10" s="182"/>
      <c r="D10" s="139" t="s">
        <v>121</v>
      </c>
      <c r="E10" s="1" t="str">
        <f t="shared" ref="E10:N10" si="1">HYPERLINK("#AML.01.02!$A$1", "AML.01.02")</f>
        <v>AML.01.02</v>
      </c>
      <c r="F10" s="1" t="str">
        <f t="shared" si="1"/>
        <v>AML.01.02</v>
      </c>
      <c r="G10" s="1" t="str">
        <f t="shared" si="1"/>
        <v>AML.01.02</v>
      </c>
      <c r="H10" s="1" t="str">
        <f t="shared" si="1"/>
        <v>AML.01.02</v>
      </c>
      <c r="I10" s="1" t="str">
        <f t="shared" si="1"/>
        <v>AML.01.02</v>
      </c>
      <c r="J10" s="1" t="str">
        <f t="shared" si="1"/>
        <v>AML.01.02</v>
      </c>
      <c r="K10" s="1" t="str">
        <f t="shared" si="1"/>
        <v>AML.01.02</v>
      </c>
      <c r="L10" s="1" t="str">
        <f t="shared" si="1"/>
        <v>AML.01.02</v>
      </c>
      <c r="M10" s="1" t="str">
        <f t="shared" si="1"/>
        <v>AML.01.02</v>
      </c>
      <c r="N10" s="1" t="str">
        <f t="shared" si="1"/>
        <v>AML.01.02</v>
      </c>
    </row>
    <row r="11" spans="1:14" ht="14.25" customHeight="1">
      <c r="B11" s="138" t="s">
        <v>129</v>
      </c>
      <c r="C11" s="140" t="s">
        <v>15</v>
      </c>
      <c r="D11" s="141" t="s">
        <v>15</v>
      </c>
      <c r="E11" s="1" t="str">
        <f t="shared" ref="E11:N11" si="2">HYPERLINK("#AML.02.01!$A$1", "AML.02.01")</f>
        <v>AML.02.01</v>
      </c>
      <c r="F11" s="1" t="str">
        <f t="shared" si="2"/>
        <v>AML.02.01</v>
      </c>
      <c r="G11" s="1" t="str">
        <f t="shared" si="2"/>
        <v>AML.02.01</v>
      </c>
      <c r="H11" s="1" t="str">
        <f t="shared" si="2"/>
        <v>AML.02.01</v>
      </c>
      <c r="I11" s="1" t="str">
        <f t="shared" si="2"/>
        <v>AML.02.01</v>
      </c>
      <c r="J11" s="1" t="str">
        <f t="shared" si="2"/>
        <v>AML.02.01</v>
      </c>
      <c r="K11" s="1" t="str">
        <f t="shared" si="2"/>
        <v>AML.02.01</v>
      </c>
      <c r="L11" s="1" t="str">
        <f t="shared" si="2"/>
        <v>AML.02.01</v>
      </c>
      <c r="M11" s="1" t="str">
        <f t="shared" si="2"/>
        <v>AML.02.01</v>
      </c>
      <c r="N11" s="1" t="str">
        <f t="shared" si="2"/>
        <v>AML.02.01</v>
      </c>
    </row>
    <row r="12" spans="1:14" ht="14.25" customHeight="1">
      <c r="B12" s="142" t="s">
        <v>152</v>
      </c>
      <c r="C12" s="183" t="s">
        <v>16</v>
      </c>
      <c r="D12" s="143" t="s">
        <v>447</v>
      </c>
      <c r="E12" s="1" t="str">
        <f t="shared" ref="E12:N12" si="3">HYPERLINK("#AML.03.01!$A$1", "AML.03.01")</f>
        <v>AML.03.01</v>
      </c>
      <c r="F12" s="1" t="str">
        <f t="shared" si="3"/>
        <v>AML.03.01</v>
      </c>
      <c r="G12" s="1"/>
      <c r="H12" s="1" t="str">
        <f t="shared" si="3"/>
        <v>AML.03.01</v>
      </c>
      <c r="I12" s="1" t="str">
        <f t="shared" si="3"/>
        <v>AML.03.01</v>
      </c>
      <c r="J12" s="1"/>
      <c r="K12" s="1"/>
      <c r="L12" s="1"/>
      <c r="M12" s="1"/>
      <c r="N12" s="1" t="str">
        <f t="shared" si="3"/>
        <v>AML.03.01</v>
      </c>
    </row>
    <row r="13" spans="1:14" ht="14.25" customHeight="1">
      <c r="B13" s="142" t="s">
        <v>159</v>
      </c>
      <c r="C13" s="181"/>
      <c r="D13" s="143" t="s">
        <v>60</v>
      </c>
      <c r="E13" s="1" t="str">
        <f>HYPERLINK("#AML.03.02!$A$1", "AML.03.02")</f>
        <v>AML.03.02</v>
      </c>
      <c r="F13" s="142"/>
      <c r="G13" s="142"/>
      <c r="H13" s="1" t="str">
        <f>HYPERLINK("#AML.03.02!$A$1", "AML.03.02")</f>
        <v>AML.03.02</v>
      </c>
      <c r="I13" s="1" t="str">
        <f>HYPERLINK("#AML.03.02!$A$1", "AML.03.02")</f>
        <v>AML.03.02</v>
      </c>
      <c r="J13" s="142"/>
      <c r="K13" s="142"/>
      <c r="L13" s="142"/>
      <c r="M13" s="142"/>
      <c r="N13" s="142"/>
    </row>
    <row r="14" spans="1:14" ht="14.25" customHeight="1">
      <c r="B14" s="142" t="s">
        <v>168</v>
      </c>
      <c r="C14" s="181"/>
      <c r="D14" s="143" t="s">
        <v>448</v>
      </c>
      <c r="E14" s="1" t="str">
        <f>HYPERLINK("#AML.03.03!$A$1", "AML.03.03")</f>
        <v>AML.03.03</v>
      </c>
      <c r="F14" s="142"/>
      <c r="G14" s="142"/>
      <c r="H14" s="1" t="str">
        <f>HYPERLINK("#AML.03.03!$A$1", "AML.03.03")</f>
        <v>AML.03.03</v>
      </c>
      <c r="I14" s="1" t="str">
        <f>HYPERLINK("#AML.03.03!$A$1", "AML.03.03")</f>
        <v>AML.03.03</v>
      </c>
      <c r="J14" s="142"/>
      <c r="K14" s="142"/>
      <c r="L14" s="142"/>
      <c r="M14" s="1" t="str">
        <f>HYPERLINK("#AML.03.03!$A$1", "AML.03.03")</f>
        <v>AML.03.03</v>
      </c>
      <c r="N14" s="142"/>
    </row>
    <row r="15" spans="1:14" ht="14.25" customHeight="1">
      <c r="B15" s="142" t="s">
        <v>175</v>
      </c>
      <c r="C15" s="181"/>
      <c r="D15" s="143" t="s">
        <v>449</v>
      </c>
      <c r="E15" s="1" t="str">
        <f>HYPERLINK("#AML.03.04!$A$1", "AML.03.04")</f>
        <v>AML.03.04</v>
      </c>
      <c r="F15" s="1" t="str">
        <f>HYPERLINK("#AML.03.04!$A$1", "AML.03.04")</f>
        <v>AML.03.04</v>
      </c>
      <c r="G15" s="142"/>
      <c r="H15" s="142"/>
      <c r="I15" s="142"/>
      <c r="J15" s="142"/>
      <c r="K15" s="142"/>
      <c r="L15" s="142"/>
      <c r="M15" s="142"/>
      <c r="N15" s="142"/>
    </row>
    <row r="16" spans="1:14" ht="14.25" customHeight="1">
      <c r="B16" s="142" t="s">
        <v>192</v>
      </c>
      <c r="C16" s="181"/>
      <c r="D16" s="143" t="s">
        <v>450</v>
      </c>
      <c r="E16" s="142"/>
      <c r="F16" s="142"/>
      <c r="G16" s="1" t="str">
        <f>HYPERLINK("#AML.03.05!$A$1", "AML.03.05")</f>
        <v>AML.03.05</v>
      </c>
      <c r="H16" s="142"/>
      <c r="I16" s="142"/>
      <c r="J16" s="142"/>
      <c r="K16" s="142"/>
      <c r="L16" s="142"/>
      <c r="M16" s="142"/>
      <c r="N16" s="142"/>
    </row>
    <row r="17" spans="2:14" ht="14.25" customHeight="1">
      <c r="B17" s="142" t="s">
        <v>199</v>
      </c>
      <c r="C17" s="182"/>
      <c r="D17" s="143" t="s">
        <v>451</v>
      </c>
      <c r="E17" s="1" t="str">
        <f>HYPERLINK("#AML.03.06!$A$1", "AML.03.06")</f>
        <v>AML.03.06</v>
      </c>
      <c r="F17" s="142"/>
      <c r="G17" s="142"/>
      <c r="H17" s="1" t="str">
        <f>HYPERLINK("#AML.03.06!$A$1", "AML.03.06")</f>
        <v>AML.03.06</v>
      </c>
      <c r="I17" s="1" t="str">
        <f>HYPERLINK("#AML.03.06!$A$1", "AML.03.06")</f>
        <v>AML.03.06</v>
      </c>
      <c r="J17" s="1" t="str">
        <f>HYPERLINK("#AML.03.06!$A$1", "AML.03.06")</f>
        <v>AML.03.06</v>
      </c>
      <c r="K17" s="142"/>
      <c r="L17" s="142"/>
      <c r="M17" s="142"/>
      <c r="N17" s="142"/>
    </row>
    <row r="18" spans="2:14" ht="14.25" customHeight="1">
      <c r="B18" s="142" t="s">
        <v>209</v>
      </c>
      <c r="C18" s="183" t="s">
        <v>23</v>
      </c>
      <c r="D18" s="143" t="s">
        <v>452</v>
      </c>
      <c r="E18" s="2" t="str">
        <f>HYPERLINK("#AML.04.01!$A$1", "AML.04.01")</f>
        <v>AML.04.01</v>
      </c>
      <c r="F18" s="142"/>
      <c r="G18" s="142"/>
      <c r="H18" s="142"/>
      <c r="I18" s="142"/>
      <c r="J18" s="142"/>
      <c r="K18" s="2" t="str">
        <f>HYPERLINK("#AML.04.01!$A$1", "AML.04.01")</f>
        <v>AML.04.01</v>
      </c>
      <c r="L18" s="2" t="str">
        <f>HYPERLINK("#AML.04.01!$A$1", "AML.04.01")</f>
        <v>AML.04.01</v>
      </c>
      <c r="M18" s="142"/>
      <c r="N18" s="142"/>
    </row>
    <row r="19" spans="2:14" ht="14.25" customHeight="1">
      <c r="B19" s="142" t="s">
        <v>220</v>
      </c>
      <c r="C19" s="181"/>
      <c r="D19" s="143" t="s">
        <v>453</v>
      </c>
      <c r="E19" s="2" t="str">
        <f>HYPERLINK("#AML.04.02!$A$1", "AML.04.02")</f>
        <v>AML.04.02</v>
      </c>
      <c r="F19" s="142"/>
      <c r="G19" s="142"/>
      <c r="H19" s="2" t="str">
        <f>HYPERLINK("#AML.04.02!$A$1", "AML.04.02")</f>
        <v>AML.04.02</v>
      </c>
      <c r="I19" s="2" t="str">
        <f>HYPERLINK("#AML.04.02!$A$1", "AML.04.02")</f>
        <v>AML.04.02</v>
      </c>
      <c r="J19" s="142"/>
      <c r="K19" s="142"/>
      <c r="L19" s="142"/>
      <c r="M19" s="142"/>
      <c r="N19" s="142"/>
    </row>
    <row r="20" spans="2:14" ht="14.25" customHeight="1">
      <c r="B20" s="142" t="s">
        <v>228</v>
      </c>
      <c r="C20" s="181"/>
      <c r="D20" s="143" t="s">
        <v>454</v>
      </c>
      <c r="E20" s="2" t="str">
        <f>HYPERLINK("#AML.04.03!$A$1", "AML.04.03")</f>
        <v>AML.04.03</v>
      </c>
      <c r="F20" s="142"/>
      <c r="G20" s="2" t="str">
        <f>HYPERLINK("#AML.04.03!$A$1", "AML.04.03")</f>
        <v>AML.04.03</v>
      </c>
      <c r="H20" s="142"/>
      <c r="I20" s="142"/>
      <c r="J20" s="142"/>
      <c r="K20" s="2" t="str">
        <f>HYPERLINK("#AML.04.03!$A$1", "AML.04.03")</f>
        <v>AML.04.03</v>
      </c>
      <c r="L20" s="142"/>
      <c r="M20" s="2" t="str">
        <f>HYPERLINK("#AML.04.03!$A$1", "AML.04.03")</f>
        <v>AML.04.03</v>
      </c>
      <c r="N20" s="142"/>
    </row>
    <row r="21" spans="2:14" ht="14.25" customHeight="1">
      <c r="B21" s="142" t="s">
        <v>232</v>
      </c>
      <c r="C21" s="181"/>
      <c r="D21" s="143" t="s">
        <v>455</v>
      </c>
      <c r="E21" s="2" t="str">
        <f>HYPERLINK("#AML.04.04!$A$1", "AML.04.04")</f>
        <v>AML.04.04</v>
      </c>
      <c r="F21" s="142"/>
      <c r="G21" s="142"/>
      <c r="H21" s="142"/>
      <c r="I21" s="2" t="str">
        <f>HYPERLINK("#AML.04.04!$A$1", "AML.04.04")</f>
        <v>AML.04.04</v>
      </c>
      <c r="J21" s="142"/>
      <c r="K21" s="142"/>
      <c r="L21" s="142"/>
      <c r="M21" s="2" t="str">
        <f>HYPERLINK("#AML.04.04!$A$1", "AML.04.04")</f>
        <v>AML.04.04</v>
      </c>
      <c r="N21" s="142"/>
    </row>
    <row r="22" spans="2:14" ht="14.25" customHeight="1">
      <c r="B22" s="142" t="s">
        <v>240</v>
      </c>
      <c r="C22" s="181"/>
      <c r="D22" s="143" t="s">
        <v>456</v>
      </c>
      <c r="E22" s="2" t="str">
        <f>HYPERLINK("#AML.04.05!$A$1", "AML.04.05")</f>
        <v>AML.04.05</v>
      </c>
      <c r="F22" s="2" t="str">
        <f>HYPERLINK("#AML.04.05!$A$1", "AML.04.05")</f>
        <v>AML.04.05</v>
      </c>
      <c r="G22" s="142"/>
      <c r="H22" s="142"/>
      <c r="I22" s="142"/>
      <c r="J22" s="142"/>
      <c r="K22" s="142"/>
      <c r="L22" s="142"/>
      <c r="M22" s="142"/>
      <c r="N22" s="142"/>
    </row>
    <row r="23" spans="2:14" ht="14.25" customHeight="1">
      <c r="B23" s="142" t="s">
        <v>247</v>
      </c>
      <c r="C23" s="181"/>
      <c r="D23" s="143" t="s">
        <v>71</v>
      </c>
      <c r="E23" s="2" t="str">
        <f>HYPERLINK("#AML.04.06!$A$1", "AML.04.06")</f>
        <v>AML.04.06</v>
      </c>
      <c r="F23" s="142"/>
      <c r="G23" s="142"/>
      <c r="H23" s="2" t="str">
        <f>HYPERLINK("#AML.04.06!$A$1", "AML.04.06")</f>
        <v>AML.04.06</v>
      </c>
      <c r="I23" s="142"/>
      <c r="J23" s="142"/>
      <c r="K23" s="142"/>
      <c r="L23" s="142"/>
      <c r="M23" s="142"/>
      <c r="N23" s="142"/>
    </row>
    <row r="24" spans="2:14" ht="14.25" customHeight="1">
      <c r="B24" s="142" t="s">
        <v>255</v>
      </c>
      <c r="C24" s="181"/>
      <c r="D24" s="143" t="s">
        <v>457</v>
      </c>
      <c r="E24" s="2" t="str">
        <f>HYPERLINK("#AML.04.07!$A$1", "AML.04.07")</f>
        <v>AML.04.07</v>
      </c>
      <c r="F24" s="142"/>
      <c r="G24" s="142"/>
      <c r="H24" s="142"/>
      <c r="I24" s="142"/>
      <c r="J24" s="142"/>
      <c r="K24" s="2" t="str">
        <f>HYPERLINK("#AML.04.07!$A$1", "AML.04.07")</f>
        <v>AML.04.07</v>
      </c>
      <c r="L24" s="142"/>
      <c r="M24" s="142"/>
      <c r="N24" s="142"/>
    </row>
    <row r="25" spans="2:14" ht="14.25" customHeight="1">
      <c r="B25" s="142" t="s">
        <v>258</v>
      </c>
      <c r="C25" s="181"/>
      <c r="D25" s="143" t="s">
        <v>458</v>
      </c>
      <c r="E25" s="2" t="str">
        <f>HYPERLINK("#AML.04.08!$A$1", "AML.04.08")</f>
        <v>AML.04.08</v>
      </c>
      <c r="F25" s="142"/>
      <c r="G25" s="142"/>
      <c r="H25" s="2" t="str">
        <f>HYPERLINK("#AML.04.08!$A$1", "AML.04.08")</f>
        <v>AML.04.08</v>
      </c>
      <c r="I25" s="2" t="str">
        <f>HYPERLINK("#AML.04.08!$A$1", "AML.04.08")</f>
        <v>AML.04.08</v>
      </c>
      <c r="J25" s="142"/>
      <c r="K25" s="142"/>
      <c r="L25" s="142"/>
      <c r="M25" s="142"/>
      <c r="N25" s="142"/>
    </row>
    <row r="26" spans="2:14" ht="14.25" customHeight="1">
      <c r="B26" s="142" t="s">
        <v>261</v>
      </c>
      <c r="C26" s="181"/>
      <c r="D26" s="143" t="s">
        <v>459</v>
      </c>
      <c r="E26" s="1" t="str">
        <f>HYPERLINK("#AML.04.09!$A$1", "AML.04.09")</f>
        <v>AML.04.09</v>
      </c>
      <c r="F26" s="142"/>
      <c r="G26" s="142"/>
      <c r="H26" s="1" t="str">
        <f>HYPERLINK("#AML.04.09!$A$1", "AML.04.09")</f>
        <v>AML.04.09</v>
      </c>
      <c r="I26" s="1" t="str">
        <f>HYPERLINK("#AML.04.09!$A$1", "AML.04.09")</f>
        <v>AML.04.09</v>
      </c>
      <c r="J26" s="142"/>
      <c r="K26" s="142"/>
      <c r="L26" s="142"/>
      <c r="M26" s="1" t="str">
        <f>HYPERLINK("#AML.04.09!$A$1", "AML.04.09")</f>
        <v>AML.04.09</v>
      </c>
      <c r="N26" s="142"/>
    </row>
    <row r="27" spans="2:14" ht="14.25" customHeight="1">
      <c r="B27" s="142" t="s">
        <v>265</v>
      </c>
      <c r="C27" s="181"/>
      <c r="D27" s="143" t="s">
        <v>460</v>
      </c>
      <c r="E27" s="2" t="str">
        <f>HYPERLINK("#AML.04.10!$A$1", "AML.04.10")</f>
        <v>AML.04.10</v>
      </c>
      <c r="F27" s="142"/>
      <c r="G27" s="142"/>
      <c r="H27" s="2" t="str">
        <f>HYPERLINK("#AML.04.10!$A$1", "AML.04.10")</f>
        <v>AML.04.10</v>
      </c>
      <c r="I27" s="2" t="str">
        <f>HYPERLINK("#AML.04.10!$A$1", "AML.04.10")</f>
        <v>AML.04.10</v>
      </c>
      <c r="J27" s="142"/>
      <c r="K27" s="2" t="str">
        <f>HYPERLINK("#AML.04.10!$A$1", "AML.04.10")</f>
        <v>AML.04.10</v>
      </c>
      <c r="L27" s="142"/>
      <c r="M27" s="2" t="str">
        <f>HYPERLINK("#AML.04.10!$A$1", "AML.04.10")</f>
        <v>AML.04.10</v>
      </c>
      <c r="N27" s="142"/>
    </row>
    <row r="28" spans="2:14" ht="14.25" customHeight="1">
      <c r="B28" s="142" t="s">
        <v>289</v>
      </c>
      <c r="C28" s="181"/>
      <c r="D28" s="143" t="s">
        <v>461</v>
      </c>
      <c r="E28" s="142"/>
      <c r="F28" s="142"/>
      <c r="G28" s="142"/>
      <c r="H28" s="142"/>
      <c r="I28" s="142"/>
      <c r="J28" s="142"/>
      <c r="K28" s="142"/>
      <c r="L28" s="2" t="str">
        <f>HYPERLINK("#AML.04.11!$A$1", "AML.04.11")</f>
        <v>AML.04.11</v>
      </c>
      <c r="M28" s="142"/>
      <c r="N28" s="142"/>
    </row>
    <row r="29" spans="2:14" ht="14.25" customHeight="1">
      <c r="B29" s="142" t="s">
        <v>300</v>
      </c>
      <c r="C29" s="181"/>
      <c r="D29" s="143" t="s">
        <v>462</v>
      </c>
      <c r="E29" s="2" t="str">
        <f>HYPERLINK("#AML.04.12!$A$1", "AML.04.12")</f>
        <v>AML.04.12</v>
      </c>
      <c r="F29" s="142"/>
      <c r="G29" s="142"/>
      <c r="H29" s="142"/>
      <c r="I29" s="142"/>
      <c r="J29" s="142"/>
      <c r="K29" s="142"/>
      <c r="L29" s="142"/>
      <c r="M29" s="142"/>
      <c r="N29" s="142"/>
    </row>
    <row r="30" spans="2:14" ht="14.25" customHeight="1">
      <c r="B30" s="142" t="s">
        <v>303</v>
      </c>
      <c r="C30" s="181"/>
      <c r="D30" s="143" t="s">
        <v>78</v>
      </c>
      <c r="E30" s="2" t="str">
        <f>HYPERLINK("#AML.04.13!$A$1", "AML.04.13")</f>
        <v>AML.04.13</v>
      </c>
      <c r="F30" s="2" t="str">
        <f>HYPERLINK("#AML.04.13!$A$1", "AML.04.13")</f>
        <v>AML.04.13</v>
      </c>
      <c r="G30" s="142"/>
      <c r="H30" s="2" t="str">
        <f>HYPERLINK("#AML.04.13!$A$1", "AML.04.13")</f>
        <v>AML.04.13</v>
      </c>
      <c r="I30" s="2" t="str">
        <f>HYPERLINK("#AML.04.13!$A$1", "AML.04.13")</f>
        <v>AML.04.13</v>
      </c>
      <c r="J30" s="142"/>
      <c r="K30" s="2" t="str">
        <f>HYPERLINK("#AML.04.13!$A$1", "AML.04.13")</f>
        <v>AML.04.13</v>
      </c>
      <c r="L30" s="142"/>
      <c r="M30" s="2" t="str">
        <f>HYPERLINK("#AML.04.13!$A$1", "AML.04.13")</f>
        <v>AML.04.13</v>
      </c>
      <c r="N30" s="142"/>
    </row>
    <row r="31" spans="2:14" ht="14.25" customHeight="1">
      <c r="B31" s="142" t="s">
        <v>309</v>
      </c>
      <c r="C31" s="182"/>
      <c r="D31" s="143" t="s">
        <v>463</v>
      </c>
      <c r="E31" s="2" t="str">
        <f>HYPERLINK("#AML.04.14!$A$1", "AML.04.14")</f>
        <v>AML.04.14</v>
      </c>
      <c r="F31" s="2" t="str">
        <f>HYPERLINK("#AML.04.14!$A$1", "AML.04.14")</f>
        <v>AML.04.14</v>
      </c>
      <c r="G31" s="2" t="str">
        <f>HYPERLINK("#AML.04.14!$A$1", "AML.04.14")</f>
        <v>AML.04.14</v>
      </c>
      <c r="H31" s="2" t="str">
        <f>HYPERLINK("#AML.04.14!$A$1", "AML.04.14")</f>
        <v>AML.04.14</v>
      </c>
      <c r="I31" s="2" t="str">
        <f>HYPERLINK("#AML.04.14!$A$1", "AML.04.14")</f>
        <v>AML.04.14</v>
      </c>
      <c r="J31" s="142"/>
      <c r="K31" s="142"/>
      <c r="L31" s="142"/>
      <c r="M31" s="2" t="str">
        <f>HYPERLINK("#AML.04.14!$A$1", "AML.04.14")</f>
        <v>AML.04.14</v>
      </c>
      <c r="N31" s="142"/>
    </row>
    <row r="32" spans="2:14" ht="14.25" customHeight="1">
      <c r="B32" s="142" t="s">
        <v>316</v>
      </c>
      <c r="C32" s="142" t="s">
        <v>38</v>
      </c>
      <c r="D32" s="144" t="s">
        <v>38</v>
      </c>
      <c r="E32" s="2" t="str">
        <f t="shared" ref="E32:N32" si="4">HYPERLINK("#AML.05.01!$A$1", "AML.05.01")</f>
        <v>AML.05.01</v>
      </c>
      <c r="F32" s="2" t="str">
        <f t="shared" si="4"/>
        <v>AML.05.01</v>
      </c>
      <c r="G32" s="2" t="str">
        <f t="shared" si="4"/>
        <v>AML.05.01</v>
      </c>
      <c r="H32" s="2" t="str">
        <f t="shared" si="4"/>
        <v>AML.05.01</v>
      </c>
      <c r="I32" s="2" t="str">
        <f t="shared" si="4"/>
        <v>AML.05.01</v>
      </c>
      <c r="J32" s="2" t="str">
        <f t="shared" si="4"/>
        <v>AML.05.01</v>
      </c>
      <c r="K32" s="2" t="str">
        <f t="shared" si="4"/>
        <v>AML.05.01</v>
      </c>
      <c r="L32" s="2" t="str">
        <f t="shared" si="4"/>
        <v>AML.05.01</v>
      </c>
      <c r="M32" s="2" t="str">
        <f t="shared" si="4"/>
        <v>AML.05.01</v>
      </c>
      <c r="N32" s="2" t="str">
        <f t="shared" si="4"/>
        <v>AML.05.01</v>
      </c>
    </row>
    <row r="33" spans="2:20" ht="14.25" customHeight="1">
      <c r="B33" s="142" t="s">
        <v>331</v>
      </c>
      <c r="C33" s="142" t="s">
        <v>39</v>
      </c>
      <c r="D33" s="144" t="s">
        <v>464</v>
      </c>
      <c r="E33" s="2" t="str">
        <f>HYPERLINK("#AML.06.01!$A$1", "AML.06.01")</f>
        <v>AML.06.01</v>
      </c>
      <c r="F33" s="2" t="str">
        <f>HYPERLINK("#AML.06.01!$A$1", "AML.06.01")</f>
        <v>AML.06.01</v>
      </c>
      <c r="G33" s="2" t="str">
        <f>HYPERLINK("#AML.06.01!$A$1", "AML.06.01")</f>
        <v>AML.06.01</v>
      </c>
      <c r="H33" s="2" t="str">
        <f>HYPERLINK("#AML.06.01!$A$1", "AML.06.01")</f>
        <v>AML.06.01</v>
      </c>
      <c r="I33" s="2" t="str">
        <f>HYPERLINK("#AML.06.01!$A$1", "AML.06.01")</f>
        <v>AML.06.01</v>
      </c>
      <c r="J33" s="142"/>
      <c r="K33" s="2" t="str">
        <f>HYPERLINK("#AML.06.01!$A$1", "AML.06.01")</f>
        <v>AML.06.01</v>
      </c>
      <c r="L33" s="142"/>
      <c r="M33" s="2" t="str">
        <f>HYPERLINK("#AML.06.01!$A$1", "AML.06.01")</f>
        <v>AML.06.01</v>
      </c>
      <c r="N33" s="2" t="str">
        <f>HYPERLINK("#AML.06.01!$A$1", "AML.06.01")</f>
        <v>AML.06.01</v>
      </c>
    </row>
    <row r="34" spans="2:20" ht="14.25" customHeight="1">
      <c r="B34" s="142" t="s">
        <v>337</v>
      </c>
      <c r="C34" s="203" t="s">
        <v>40</v>
      </c>
      <c r="D34" s="144" t="s">
        <v>339</v>
      </c>
      <c r="E34" s="2" t="str">
        <f t="shared" ref="E34:N34" si="5">HYPERLINK("#AML.07.01!$A$1", "AML.07.01")</f>
        <v>AML.07.01</v>
      </c>
      <c r="F34" s="2" t="str">
        <f t="shared" si="5"/>
        <v>AML.07.01</v>
      </c>
      <c r="G34" s="2" t="str">
        <f t="shared" si="5"/>
        <v>AML.07.01</v>
      </c>
      <c r="H34" s="2" t="str">
        <f t="shared" si="5"/>
        <v>AML.07.01</v>
      </c>
      <c r="I34" s="2" t="str">
        <f t="shared" si="5"/>
        <v>AML.07.01</v>
      </c>
      <c r="J34" s="2" t="str">
        <f t="shared" si="5"/>
        <v>AML.07.01</v>
      </c>
      <c r="K34" s="2" t="str">
        <f t="shared" si="5"/>
        <v>AML.07.01</v>
      </c>
      <c r="L34" s="2" t="str">
        <f t="shared" si="5"/>
        <v>AML.07.01</v>
      </c>
      <c r="M34" s="2" t="str">
        <f t="shared" si="5"/>
        <v>AML.07.01</v>
      </c>
      <c r="N34" s="2" t="str">
        <f t="shared" si="5"/>
        <v>AML.07.01</v>
      </c>
    </row>
    <row r="35" spans="2:20">
      <c r="B35" s="142" t="s">
        <v>349</v>
      </c>
      <c r="C35" s="204"/>
      <c r="D35" s="144" t="s">
        <v>351</v>
      </c>
      <c r="E35" s="2" t="str">
        <f t="shared" ref="E35:N35" si="6">HYPERLINK("#AML.07.02!$A$1", "AML.07.02")</f>
        <v>AML.07.02</v>
      </c>
      <c r="F35" s="2" t="str">
        <f t="shared" si="6"/>
        <v>AML.07.02</v>
      </c>
      <c r="G35" s="2" t="str">
        <f t="shared" si="6"/>
        <v>AML.07.02</v>
      </c>
      <c r="H35" s="2" t="str">
        <f t="shared" si="6"/>
        <v>AML.07.02</v>
      </c>
      <c r="I35" s="2" t="str">
        <f t="shared" si="6"/>
        <v>AML.07.02</v>
      </c>
      <c r="J35" s="2" t="str">
        <f t="shared" si="6"/>
        <v>AML.07.02</v>
      </c>
      <c r="K35" s="2" t="str">
        <f t="shared" si="6"/>
        <v>AML.07.02</v>
      </c>
      <c r="L35" s="2" t="str">
        <f t="shared" si="6"/>
        <v>AML.07.02</v>
      </c>
      <c r="M35" s="2" t="str">
        <f t="shared" si="6"/>
        <v>AML.07.02</v>
      </c>
      <c r="N35" s="2" t="str">
        <f t="shared" si="6"/>
        <v>AML.07.02</v>
      </c>
    </row>
    <row r="36" spans="2:20">
      <c r="B36" s="142" t="s">
        <v>373</v>
      </c>
      <c r="C36" s="204"/>
      <c r="D36" s="144" t="s">
        <v>374</v>
      </c>
      <c r="E36" s="2" t="str">
        <f t="shared" ref="E36:N36" si="7">HYPERLINK("#AML.07.03!$A$1", "AML.07.03")</f>
        <v>AML.07.03</v>
      </c>
      <c r="F36" s="2" t="str">
        <f t="shared" si="7"/>
        <v>AML.07.03</v>
      </c>
      <c r="G36" s="2" t="str">
        <f t="shared" si="7"/>
        <v>AML.07.03</v>
      </c>
      <c r="H36" s="2" t="str">
        <f t="shared" si="7"/>
        <v>AML.07.03</v>
      </c>
      <c r="I36" s="2" t="str">
        <f t="shared" si="7"/>
        <v>AML.07.03</v>
      </c>
      <c r="J36" s="2" t="str">
        <f t="shared" si="7"/>
        <v>AML.07.03</v>
      </c>
      <c r="K36" s="2" t="str">
        <f t="shared" si="7"/>
        <v>AML.07.03</v>
      </c>
      <c r="L36" s="2" t="str">
        <f t="shared" si="7"/>
        <v>AML.07.03</v>
      </c>
      <c r="M36" s="2" t="str">
        <f t="shared" si="7"/>
        <v>AML.07.03</v>
      </c>
      <c r="N36" s="2" t="str">
        <f t="shared" si="7"/>
        <v>AML.07.03</v>
      </c>
    </row>
    <row r="37" spans="2:20">
      <c r="B37" s="142" t="s">
        <v>384</v>
      </c>
      <c r="C37" s="204"/>
      <c r="D37" s="144" t="s">
        <v>385</v>
      </c>
      <c r="E37" s="2" t="str">
        <f t="shared" ref="E37:N37" si="8">HYPERLINK("#AML.07.04!$A$1", "AML.07.04")</f>
        <v>AML.07.04</v>
      </c>
      <c r="F37" s="2" t="str">
        <f t="shared" si="8"/>
        <v>AML.07.04</v>
      </c>
      <c r="G37" s="2" t="str">
        <f t="shared" si="8"/>
        <v>AML.07.04</v>
      </c>
      <c r="H37" s="2" t="str">
        <f t="shared" si="8"/>
        <v>AML.07.04</v>
      </c>
      <c r="I37" s="2" t="str">
        <f t="shared" si="8"/>
        <v>AML.07.04</v>
      </c>
      <c r="J37" s="2" t="str">
        <f t="shared" si="8"/>
        <v>AML.07.04</v>
      </c>
      <c r="K37" s="2" t="str">
        <f t="shared" si="8"/>
        <v>AML.07.04</v>
      </c>
      <c r="L37" s="2" t="str">
        <f t="shared" si="8"/>
        <v>AML.07.04</v>
      </c>
      <c r="M37" s="2" t="str">
        <f t="shared" si="8"/>
        <v>AML.07.04</v>
      </c>
      <c r="N37" s="2" t="str">
        <f t="shared" si="8"/>
        <v>AML.07.04</v>
      </c>
    </row>
    <row r="38" spans="2:20">
      <c r="B38" s="142" t="s">
        <v>393</v>
      </c>
      <c r="C38" s="204"/>
      <c r="D38" s="144" t="s">
        <v>423</v>
      </c>
      <c r="E38" s="2" t="str">
        <f t="shared" ref="E38:N38" si="9">HYPERLINK("#AML.07.05!$A$1", "AML.07.05")</f>
        <v>AML.07.05</v>
      </c>
      <c r="F38" s="2" t="str">
        <f t="shared" si="9"/>
        <v>AML.07.05</v>
      </c>
      <c r="G38" s="2" t="str">
        <f t="shared" si="9"/>
        <v>AML.07.05</v>
      </c>
      <c r="H38" s="2" t="str">
        <f t="shared" si="9"/>
        <v>AML.07.05</v>
      </c>
      <c r="I38" s="2" t="str">
        <f t="shared" si="9"/>
        <v>AML.07.05</v>
      </c>
      <c r="J38" s="2" t="str">
        <f t="shared" si="9"/>
        <v>AML.07.05</v>
      </c>
      <c r="K38" s="2" t="str">
        <f t="shared" si="9"/>
        <v>AML.07.05</v>
      </c>
      <c r="L38" s="2" t="str">
        <f t="shared" si="9"/>
        <v>AML.07.05</v>
      </c>
      <c r="M38" s="2" t="str">
        <f t="shared" si="9"/>
        <v>AML.07.05</v>
      </c>
      <c r="N38" s="2" t="str">
        <f t="shared" si="9"/>
        <v>AML.07.05</v>
      </c>
    </row>
    <row r="39" spans="2:20">
      <c r="B39" s="142" t="s">
        <v>415</v>
      </c>
      <c r="C39" s="204"/>
      <c r="D39" s="144" t="s">
        <v>416</v>
      </c>
      <c r="E39" s="2" t="str">
        <f t="shared" ref="E39:N39" si="10">HYPERLINK("#AML.07.06!$A$1", "AML.07.06")</f>
        <v>AML.07.06</v>
      </c>
      <c r="F39" s="2" t="str">
        <f t="shared" si="10"/>
        <v>AML.07.06</v>
      </c>
      <c r="G39" s="2" t="str">
        <f t="shared" si="10"/>
        <v>AML.07.06</v>
      </c>
      <c r="H39" s="2" t="str">
        <f t="shared" si="10"/>
        <v>AML.07.06</v>
      </c>
      <c r="I39" s="2" t="str">
        <f t="shared" si="10"/>
        <v>AML.07.06</v>
      </c>
      <c r="J39" s="2" t="str">
        <f t="shared" si="10"/>
        <v>AML.07.06</v>
      </c>
      <c r="K39" s="2" t="str">
        <f t="shared" si="10"/>
        <v>AML.07.06</v>
      </c>
      <c r="L39" s="2" t="str">
        <f t="shared" si="10"/>
        <v>AML.07.06</v>
      </c>
      <c r="M39" s="2" t="str">
        <f t="shared" si="10"/>
        <v>AML.07.06</v>
      </c>
      <c r="N39" s="2" t="str">
        <f t="shared" si="10"/>
        <v>AML.07.06</v>
      </c>
    </row>
    <row r="40" spans="2:20">
      <c r="B40" s="142" t="s">
        <v>421</v>
      </c>
      <c r="C40" s="205"/>
      <c r="D40" s="144" t="s">
        <v>422</v>
      </c>
      <c r="E40" s="2" t="str">
        <f t="shared" ref="E40:N40" si="11">HYPERLINK("#AML.07.07!$A$1", "AML.07.07")</f>
        <v>AML.07.07</v>
      </c>
      <c r="F40" s="2" t="str">
        <f t="shared" si="11"/>
        <v>AML.07.07</v>
      </c>
      <c r="G40" s="2" t="str">
        <f t="shared" si="11"/>
        <v>AML.07.07</v>
      </c>
      <c r="H40" s="2" t="str">
        <f t="shared" si="11"/>
        <v>AML.07.07</v>
      </c>
      <c r="I40" s="2" t="str">
        <f t="shared" si="11"/>
        <v>AML.07.07</v>
      </c>
      <c r="J40" s="2" t="str">
        <f t="shared" si="11"/>
        <v>AML.07.07</v>
      </c>
      <c r="K40" s="2" t="str">
        <f t="shared" si="11"/>
        <v>AML.07.07</v>
      </c>
      <c r="L40" s="2" t="str">
        <f t="shared" si="11"/>
        <v>AML.07.07</v>
      </c>
      <c r="M40" s="2" t="str">
        <f t="shared" si="11"/>
        <v>AML.07.07</v>
      </c>
      <c r="N40" s="2" t="str">
        <f t="shared" si="11"/>
        <v>AML.07.07</v>
      </c>
    </row>
    <row r="41" spans="2:20">
      <c r="E41" s="16"/>
      <c r="F41" s="16"/>
      <c r="G41" s="16"/>
      <c r="H41" s="16"/>
      <c r="I41" s="16"/>
      <c r="J41" s="16"/>
      <c r="K41" s="16"/>
      <c r="L41" s="16"/>
      <c r="M41" s="16"/>
      <c r="N41" s="16"/>
      <c r="O41" s="16"/>
      <c r="P41" s="16"/>
      <c r="Q41" s="16"/>
      <c r="R41" s="16"/>
      <c r="S41" s="16"/>
      <c r="T41" s="16"/>
    </row>
  </sheetData>
  <sheetProtection algorithmName="SHA-512" hashValue="CHvSVsIKnycpRAQV815OnoJMzTefSOzcnIFA4uQjmxMcbB0OaAGa4FP9o8f9lAMJ/vJzonxg5qTp6yDgDeC/Mg==" saltValue="EfgEuPqYelfSmVKJXsCyBg==" spinCount="100000" sheet="1" objects="1" scenarios="1"/>
  <mergeCells count="7">
    <mergeCell ref="C18:C31"/>
    <mergeCell ref="C34:C40"/>
    <mergeCell ref="E2:H2"/>
    <mergeCell ref="D3:N3"/>
    <mergeCell ref="D4:N7"/>
    <mergeCell ref="C9:C10"/>
    <mergeCell ref="C12:C17"/>
  </mergeCells>
  <phoneticPr fontId="4" type="noConversion"/>
  <pageMargins left="0.7" right="0.7" top="0.75" bottom="0.75" header="0.3" footer="0.3"/>
  <pageSetup orientation="portrait" horizontalDpi="1200" verticalDpi="1200" r:id="rId1"/>
  <headerFooter>
    <oddHeader>&amp;L&amp;"Aptos"&amp;12&amp;K000000 EBA Regular Use&amp;1#_x000D_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680B3E-B45C-4BF6-9872-A6EC7F97557E}">
          <x14:formula1>
            <xm:f>Lists!$I$2:$I$11</xm:f>
          </x14:formula1>
          <xm:sqref>E2:H2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D609C-0853-4034-9388-CABAD253ECC5}">
  <sheetPr codeName="Sheet42">
    <tabColor theme="1"/>
  </sheetPr>
  <dimension ref="A1:AS250"/>
  <sheetViews>
    <sheetView topLeftCell="V1" workbookViewId="0">
      <selection activeCell="AF21" sqref="AF21"/>
    </sheetView>
  </sheetViews>
  <sheetFormatPr defaultColWidth="8.5703125" defaultRowHeight="15"/>
  <cols>
    <col min="1" max="2" width="21.5703125" customWidth="1"/>
    <col min="3" max="3" width="27.42578125" customWidth="1"/>
    <col min="4" max="4" width="70.42578125" customWidth="1"/>
    <col min="5" max="5" width="13.5703125" customWidth="1"/>
    <col min="6" max="6" width="17.5703125" customWidth="1"/>
    <col min="7" max="7" width="17.42578125" customWidth="1"/>
    <col min="8" max="8" width="42.5703125" customWidth="1"/>
    <col min="9" max="9" width="38.42578125" customWidth="1"/>
    <col min="10" max="10" width="18" customWidth="1"/>
    <col min="11" max="11" width="16.5703125" customWidth="1"/>
    <col min="12" max="12" width="22.5703125" customWidth="1"/>
    <col min="13" max="13" width="31.5703125" customWidth="1"/>
    <col min="14" max="14" width="18" customWidth="1"/>
    <col min="15" max="15" width="20.42578125" customWidth="1"/>
    <col min="16" max="16" width="27" customWidth="1"/>
    <col min="17" max="17" width="24.42578125" customWidth="1"/>
    <col min="19" max="19" width="16.5703125" customWidth="1"/>
    <col min="20" max="20" width="22.5703125" customWidth="1"/>
    <col min="21" max="21" width="31.5703125" customWidth="1"/>
    <col min="23" max="23" width="20.5703125" bestFit="1" customWidth="1"/>
    <col min="24" max="24" width="19.5703125" bestFit="1" customWidth="1"/>
    <col min="25" max="25" width="25.42578125" bestFit="1" customWidth="1"/>
    <col min="27" max="27" width="20.5703125" bestFit="1" customWidth="1"/>
    <col min="28" max="28" width="19.5703125" bestFit="1" customWidth="1"/>
    <col min="29" max="29" width="25.42578125" bestFit="1" customWidth="1"/>
    <col min="31" max="31" width="32.42578125" customWidth="1"/>
    <col min="32" max="32" width="28.5703125" customWidth="1"/>
    <col min="33" max="33" width="20.42578125" customWidth="1"/>
    <col min="35" max="35" width="22.5703125" bestFit="1" customWidth="1"/>
    <col min="36" max="36" width="21.5703125" bestFit="1" customWidth="1"/>
    <col min="37" max="37" width="27.5703125" bestFit="1" customWidth="1"/>
    <col min="39" max="39" width="22.5703125" bestFit="1" customWidth="1"/>
    <col min="40" max="40" width="21.5703125" bestFit="1" customWidth="1"/>
    <col min="41" max="41" width="27.5703125" bestFit="1" customWidth="1"/>
    <col min="43" max="43" width="22.5703125" bestFit="1" customWidth="1"/>
    <col min="44" max="44" width="26.42578125" bestFit="1" customWidth="1"/>
    <col min="45" max="45" width="27.5703125" bestFit="1" customWidth="1"/>
  </cols>
  <sheetData>
    <row r="1" spans="1:45" ht="15.75" thickBot="1">
      <c r="A1" s="145" t="s">
        <v>465</v>
      </c>
      <c r="B1" s="145" t="s">
        <v>466</v>
      </c>
      <c r="C1" s="145" t="s">
        <v>467</v>
      </c>
      <c r="D1" s="145" t="s">
        <v>468</v>
      </c>
      <c r="E1" s="145" t="s">
        <v>469</v>
      </c>
      <c r="G1" s="145" t="s">
        <v>470</v>
      </c>
      <c r="H1" s="145" t="s">
        <v>471</v>
      </c>
      <c r="I1" s="145" t="s">
        <v>472</v>
      </c>
      <c r="K1" s="145" t="s">
        <v>473</v>
      </c>
      <c r="L1" s="145" t="s">
        <v>474</v>
      </c>
      <c r="M1" s="145" t="s">
        <v>475</v>
      </c>
      <c r="O1" s="145" t="s">
        <v>476</v>
      </c>
      <c r="P1" s="145" t="s">
        <v>477</v>
      </c>
      <c r="Q1" s="145" t="s">
        <v>478</v>
      </c>
      <c r="S1" s="145" t="s">
        <v>479</v>
      </c>
      <c r="T1" s="145" t="s">
        <v>480</v>
      </c>
      <c r="U1" s="145" t="s">
        <v>481</v>
      </c>
      <c r="W1" s="145" t="s">
        <v>482</v>
      </c>
      <c r="X1" s="145" t="s">
        <v>483</v>
      </c>
      <c r="Y1" s="145" t="s">
        <v>484</v>
      </c>
      <c r="AA1" s="145" t="s">
        <v>485</v>
      </c>
      <c r="AB1" s="145" t="s">
        <v>486</v>
      </c>
      <c r="AC1" s="145" t="s">
        <v>487</v>
      </c>
      <c r="AE1" s="145" t="s">
        <v>488</v>
      </c>
      <c r="AF1" s="145" t="s">
        <v>489</v>
      </c>
      <c r="AG1" s="145" t="s">
        <v>490</v>
      </c>
      <c r="AI1" s="145" t="s">
        <v>491</v>
      </c>
      <c r="AJ1" s="145" t="s">
        <v>492</v>
      </c>
      <c r="AK1" s="145" t="s">
        <v>493</v>
      </c>
      <c r="AM1" s="145" t="s">
        <v>494</v>
      </c>
      <c r="AN1" s="145" t="s">
        <v>495</v>
      </c>
      <c r="AO1" s="145" t="s">
        <v>496</v>
      </c>
      <c r="AQ1" s="145" t="s">
        <v>497</v>
      </c>
      <c r="AR1" s="145" t="s">
        <v>498</v>
      </c>
      <c r="AS1" s="145" t="s">
        <v>499</v>
      </c>
    </row>
    <row r="2" spans="1:45" ht="15.75" thickBot="1">
      <c r="A2" s="146" t="s">
        <v>500</v>
      </c>
      <c r="B2" s="147" t="s">
        <v>501</v>
      </c>
      <c r="C2" t="s">
        <v>502</v>
      </c>
      <c r="D2" t="str">
        <f>E2 &amp; "-" &amp; C2</f>
        <v>AT-Financial Market Authority</v>
      </c>
      <c r="E2" s="16" t="s">
        <v>503</v>
      </c>
      <c r="G2" s="147"/>
      <c r="H2" s="16" t="s">
        <v>504</v>
      </c>
      <c r="I2" s="16" t="str">
        <f>H2</f>
        <v>Credit institutions</v>
      </c>
      <c r="J2" s="148"/>
      <c r="K2" s="147" t="s">
        <v>505</v>
      </c>
      <c r="L2" s="148" t="s">
        <v>503</v>
      </c>
      <c r="M2" s="148" t="s">
        <v>506</v>
      </c>
      <c r="N2" s="148"/>
      <c r="O2" s="146" t="s">
        <v>507</v>
      </c>
      <c r="P2" s="148" t="s">
        <v>508</v>
      </c>
      <c r="Q2" s="148" t="s">
        <v>508</v>
      </c>
      <c r="S2" s="147" t="s">
        <v>509</v>
      </c>
      <c r="T2" s="16" t="s">
        <v>510</v>
      </c>
      <c r="U2" s="149" t="s">
        <v>511</v>
      </c>
      <c r="W2" s="146" t="s">
        <v>512</v>
      </c>
      <c r="X2" t="s">
        <v>13</v>
      </c>
      <c r="Y2" t="s">
        <v>13</v>
      </c>
      <c r="AA2" s="146" t="s">
        <v>513</v>
      </c>
      <c r="AB2" t="s">
        <v>44</v>
      </c>
      <c r="AC2" t="s">
        <v>44</v>
      </c>
      <c r="AE2" s="146" t="s">
        <v>514</v>
      </c>
      <c r="AF2" t="s">
        <v>81</v>
      </c>
      <c r="AG2" t="s">
        <v>81</v>
      </c>
      <c r="AI2" s="146" t="s">
        <v>515</v>
      </c>
      <c r="AJ2" t="s">
        <v>516</v>
      </c>
      <c r="AK2" t="s">
        <v>516</v>
      </c>
      <c r="AM2" s="146" t="s">
        <v>517</v>
      </c>
      <c r="AN2" t="s">
        <v>518</v>
      </c>
      <c r="AO2" t="s">
        <v>518</v>
      </c>
      <c r="AQ2" s="146" t="s">
        <v>519</v>
      </c>
      <c r="AR2" t="s">
        <v>520</v>
      </c>
      <c r="AS2" t="s">
        <v>520</v>
      </c>
    </row>
    <row r="3" spans="1:45" ht="15.75" thickBot="1">
      <c r="A3" s="146" t="s">
        <v>521</v>
      </c>
      <c r="B3" s="147" t="s">
        <v>522</v>
      </c>
      <c r="C3" t="s">
        <v>523</v>
      </c>
      <c r="D3" t="str">
        <f t="shared" ref="D3:D60" si="0">E3 &amp; "-" &amp; C3</f>
        <v>AT-Trade authority (Federal Ministry for Economy, Energy and Tourism and Trade Authorities in the Austrian Länder)</v>
      </c>
      <c r="E3" s="16" t="s">
        <v>503</v>
      </c>
      <c r="G3" s="147" t="s">
        <v>524</v>
      </c>
      <c r="H3" s="16" t="s">
        <v>433</v>
      </c>
      <c r="I3" s="16" t="str">
        <f t="shared" ref="I3:I11" si="1">H3</f>
        <v>Life insurance undertakings</v>
      </c>
      <c r="J3" s="148"/>
      <c r="K3" s="147" t="s">
        <v>525</v>
      </c>
      <c r="L3" s="148" t="s">
        <v>526</v>
      </c>
      <c r="M3" s="148" t="s">
        <v>527</v>
      </c>
      <c r="N3" s="148"/>
      <c r="O3" s="146" t="s">
        <v>528</v>
      </c>
      <c r="P3" s="16" t="s">
        <v>529</v>
      </c>
      <c r="Q3" s="16" t="s">
        <v>529</v>
      </c>
      <c r="S3" s="147" t="s">
        <v>530</v>
      </c>
      <c r="T3" s="16" t="s">
        <v>531</v>
      </c>
      <c r="U3" s="149" t="s">
        <v>532</v>
      </c>
      <c r="W3" s="146" t="s">
        <v>533</v>
      </c>
      <c r="X3" t="s">
        <v>383</v>
      </c>
      <c r="Y3" t="s">
        <v>383</v>
      </c>
      <c r="AA3" s="146" t="s">
        <v>534</v>
      </c>
      <c r="AB3" t="s">
        <v>120</v>
      </c>
      <c r="AC3" t="s">
        <v>120</v>
      </c>
      <c r="AE3" s="146" t="s">
        <v>535</v>
      </c>
      <c r="AF3" t="s">
        <v>82</v>
      </c>
      <c r="AG3" t="s">
        <v>82</v>
      </c>
      <c r="AI3" s="146" t="s">
        <v>536</v>
      </c>
      <c r="AJ3" t="s">
        <v>537</v>
      </c>
      <c r="AK3" t="s">
        <v>537</v>
      </c>
      <c r="AM3" s="146" t="s">
        <v>538</v>
      </c>
      <c r="AN3" t="s">
        <v>539</v>
      </c>
      <c r="AO3" t="s">
        <v>539</v>
      </c>
      <c r="AQ3" s="146" t="s">
        <v>540</v>
      </c>
      <c r="AR3" t="s">
        <v>541</v>
      </c>
      <c r="AS3" t="s">
        <v>541</v>
      </c>
    </row>
    <row r="4" spans="1:45" ht="15.75" thickBot="1">
      <c r="A4" s="146" t="s">
        <v>542</v>
      </c>
      <c r="B4" s="147" t="s">
        <v>543</v>
      </c>
      <c r="C4" t="s">
        <v>544</v>
      </c>
      <c r="D4" t="str">
        <f t="shared" si="0"/>
        <v>BE-National Bank of Belgium</v>
      </c>
      <c r="E4" s="16" t="s">
        <v>526</v>
      </c>
      <c r="G4" s="147" t="s">
        <v>545</v>
      </c>
      <c r="H4" s="16" t="s">
        <v>546</v>
      </c>
      <c r="I4" s="16" t="str">
        <f t="shared" si="1"/>
        <v>Life insurance intermediaries</v>
      </c>
      <c r="J4" s="148"/>
      <c r="K4" s="147" t="s">
        <v>547</v>
      </c>
      <c r="L4" s="148" t="s">
        <v>548</v>
      </c>
      <c r="M4" s="148" t="s">
        <v>549</v>
      </c>
      <c r="N4" s="148"/>
      <c r="O4" s="146" t="s">
        <v>550</v>
      </c>
      <c r="P4" s="16" t="s">
        <v>551</v>
      </c>
      <c r="Q4" s="16" t="s">
        <v>551</v>
      </c>
      <c r="S4" s="147" t="s">
        <v>552</v>
      </c>
      <c r="T4" s="16" t="s">
        <v>553</v>
      </c>
      <c r="U4" s="149" t="s">
        <v>554</v>
      </c>
      <c r="AA4" s="146" t="s">
        <v>555</v>
      </c>
      <c r="AB4" t="s">
        <v>129</v>
      </c>
      <c r="AC4" t="s">
        <v>129</v>
      </c>
      <c r="AE4" s="146" t="s">
        <v>556</v>
      </c>
      <c r="AF4" t="s">
        <v>83</v>
      </c>
      <c r="AG4" t="s">
        <v>83</v>
      </c>
      <c r="AI4" s="146" t="s">
        <v>557</v>
      </c>
      <c r="AJ4" t="s">
        <v>558</v>
      </c>
      <c r="AK4" t="s">
        <v>558</v>
      </c>
      <c r="AM4" s="146" t="s">
        <v>559</v>
      </c>
      <c r="AN4" t="s">
        <v>560</v>
      </c>
      <c r="AO4" t="s">
        <v>560</v>
      </c>
    </row>
    <row r="5" spans="1:45" ht="15.75" thickBot="1">
      <c r="A5" s="146" t="s">
        <v>561</v>
      </c>
      <c r="B5" s="147" t="s">
        <v>562</v>
      </c>
      <c r="C5" t="s">
        <v>563</v>
      </c>
      <c r="D5" t="str">
        <f t="shared" si="0"/>
        <v xml:space="preserve">BE-Financial Services and Markets Authority </v>
      </c>
      <c r="E5" s="16" t="s">
        <v>526</v>
      </c>
      <c r="G5" s="147" t="s">
        <v>564</v>
      </c>
      <c r="H5" s="16" t="s">
        <v>565</v>
      </c>
      <c r="I5" s="16" t="str">
        <f t="shared" si="1"/>
        <v>E money institutions</v>
      </c>
      <c r="J5" s="148"/>
      <c r="K5" s="147" t="s">
        <v>566</v>
      </c>
      <c r="L5" s="148" t="s">
        <v>567</v>
      </c>
      <c r="M5" s="148" t="s">
        <v>568</v>
      </c>
      <c r="N5" s="148"/>
      <c r="O5" s="146" t="s">
        <v>569</v>
      </c>
      <c r="P5" s="16" t="s">
        <v>570</v>
      </c>
      <c r="Q5" s="16" t="s">
        <v>570</v>
      </c>
      <c r="S5" s="147" t="s">
        <v>571</v>
      </c>
      <c r="T5" s="16" t="s">
        <v>572</v>
      </c>
      <c r="U5" s="149" t="s">
        <v>573</v>
      </c>
      <c r="AA5" s="146" t="s">
        <v>574</v>
      </c>
      <c r="AB5" t="s">
        <v>152</v>
      </c>
      <c r="AC5" t="s">
        <v>152</v>
      </c>
      <c r="AE5" s="146" t="s">
        <v>575</v>
      </c>
      <c r="AF5" t="s">
        <v>84</v>
      </c>
      <c r="AG5" t="s">
        <v>84</v>
      </c>
      <c r="AI5" s="146" t="s">
        <v>576</v>
      </c>
      <c r="AJ5" t="s">
        <v>577</v>
      </c>
      <c r="AK5" t="s">
        <v>577</v>
      </c>
    </row>
    <row r="6" spans="1:45" ht="15.75" thickBot="1">
      <c r="A6" s="150" t="s">
        <v>578</v>
      </c>
      <c r="B6" s="147" t="s">
        <v>579</v>
      </c>
      <c r="C6" t="s">
        <v>580</v>
      </c>
      <c r="D6" t="str">
        <f t="shared" si="0"/>
        <v>BE-FPS Economy, SMEs, Middle Classes, and Energy</v>
      </c>
      <c r="E6" s="16" t="s">
        <v>526</v>
      </c>
      <c r="G6" s="147" t="s">
        <v>581</v>
      </c>
      <c r="H6" s="16" t="s">
        <v>582</v>
      </c>
      <c r="I6" s="16" t="str">
        <f t="shared" si="1"/>
        <v>Payment institutions</v>
      </c>
      <c r="J6" s="148"/>
      <c r="K6" s="147" t="s">
        <v>583</v>
      </c>
      <c r="L6" s="148" t="s">
        <v>584</v>
      </c>
      <c r="M6" s="148" t="s">
        <v>585</v>
      </c>
      <c r="N6" s="148"/>
      <c r="O6" s="146" t="s">
        <v>586</v>
      </c>
      <c r="P6" s="16" t="s">
        <v>587</v>
      </c>
      <c r="Q6" s="16" t="s">
        <v>587</v>
      </c>
      <c r="S6" s="147" t="s">
        <v>588</v>
      </c>
      <c r="T6" s="16" t="s">
        <v>589</v>
      </c>
      <c r="U6" s="149" t="s">
        <v>590</v>
      </c>
      <c r="AA6" s="146" t="s">
        <v>591</v>
      </c>
      <c r="AB6" t="s">
        <v>159</v>
      </c>
      <c r="AC6" t="s">
        <v>159</v>
      </c>
      <c r="AE6" s="146" t="s">
        <v>592</v>
      </c>
      <c r="AF6" t="s">
        <v>85</v>
      </c>
      <c r="AG6" t="s">
        <v>85</v>
      </c>
      <c r="AI6" s="146" t="s">
        <v>593</v>
      </c>
      <c r="AJ6" t="s">
        <v>594</v>
      </c>
      <c r="AK6" t="s">
        <v>594</v>
      </c>
    </row>
    <row r="7" spans="1:45" ht="15.75" thickBot="1">
      <c r="A7" s="150" t="s">
        <v>595</v>
      </c>
      <c r="B7" s="147" t="s">
        <v>596</v>
      </c>
      <c r="C7" t="s">
        <v>597</v>
      </c>
      <c r="D7" t="str">
        <f t="shared" si="0"/>
        <v>BG-Bulgarian National Bank – Banking Supervision Department</v>
      </c>
      <c r="E7" s="16" t="s">
        <v>548</v>
      </c>
      <c r="G7" s="147" t="s">
        <v>598</v>
      </c>
      <c r="H7" s="16" t="s">
        <v>599</v>
      </c>
      <c r="I7" s="16" t="str">
        <f t="shared" si="1"/>
        <v>Bureau de change</v>
      </c>
      <c r="J7" s="148"/>
      <c r="K7" s="147" t="s">
        <v>600</v>
      </c>
      <c r="L7" s="148" t="s">
        <v>601</v>
      </c>
      <c r="M7" s="148" t="s">
        <v>602</v>
      </c>
      <c r="N7" s="148"/>
      <c r="O7" s="146" t="s">
        <v>603</v>
      </c>
      <c r="P7" s="16" t="s">
        <v>604</v>
      </c>
      <c r="Q7" s="16" t="s">
        <v>604</v>
      </c>
      <c r="S7" s="147" t="s">
        <v>605</v>
      </c>
      <c r="T7" s="16" t="s">
        <v>606</v>
      </c>
      <c r="U7" s="149" t="s">
        <v>607</v>
      </c>
      <c r="AA7" s="146" t="s">
        <v>608</v>
      </c>
      <c r="AB7" t="s">
        <v>168</v>
      </c>
      <c r="AC7" t="s">
        <v>168</v>
      </c>
      <c r="AE7" s="146" t="s">
        <v>609</v>
      </c>
      <c r="AF7" t="s">
        <v>86</v>
      </c>
      <c r="AG7" t="s">
        <v>86</v>
      </c>
    </row>
    <row r="8" spans="1:45" ht="15.75" thickBot="1">
      <c r="A8" s="150" t="s">
        <v>610</v>
      </c>
      <c r="B8" s="147" t="s">
        <v>611</v>
      </c>
      <c r="C8" t="s">
        <v>612</v>
      </c>
      <c r="D8" t="str">
        <f t="shared" si="0"/>
        <v>BG-Bulgarian National Bank – Banking Department</v>
      </c>
      <c r="E8" s="16" t="s">
        <v>548</v>
      </c>
      <c r="G8" s="147" t="s">
        <v>613</v>
      </c>
      <c r="H8" s="16" t="s">
        <v>614</v>
      </c>
      <c r="I8" s="16" t="str">
        <f t="shared" si="1"/>
        <v>Investment firms</v>
      </c>
      <c r="J8" s="148"/>
      <c r="K8" s="147" t="s">
        <v>615</v>
      </c>
      <c r="L8" s="148" t="s">
        <v>616</v>
      </c>
      <c r="M8" s="148" t="s">
        <v>617</v>
      </c>
      <c r="N8" s="148"/>
      <c r="O8" s="146" t="s">
        <v>618</v>
      </c>
      <c r="P8" t="s">
        <v>619</v>
      </c>
      <c r="Q8" t="s">
        <v>619</v>
      </c>
      <c r="S8" s="147" t="s">
        <v>620</v>
      </c>
      <c r="T8" s="16" t="s">
        <v>621</v>
      </c>
      <c r="U8" s="149" t="s">
        <v>622</v>
      </c>
      <c r="AA8" s="146" t="s">
        <v>623</v>
      </c>
      <c r="AB8" t="s">
        <v>175</v>
      </c>
      <c r="AC8" t="s">
        <v>175</v>
      </c>
      <c r="AE8" s="146" t="s">
        <v>624</v>
      </c>
      <c r="AF8" t="s">
        <v>87</v>
      </c>
      <c r="AG8" t="s">
        <v>87</v>
      </c>
    </row>
    <row r="9" spans="1:45" ht="15.75" customHeight="1" thickBot="1">
      <c r="A9" s="150" t="s">
        <v>625</v>
      </c>
      <c r="B9" s="147" t="s">
        <v>626</v>
      </c>
      <c r="C9" t="s">
        <v>627</v>
      </c>
      <c r="D9" t="str">
        <f t="shared" si="0"/>
        <v>BG-Financial supervision commission</v>
      </c>
      <c r="E9" s="16" t="s">
        <v>548</v>
      </c>
      <c r="G9" s="147" t="s">
        <v>628</v>
      </c>
      <c r="H9" s="16" t="s">
        <v>629</v>
      </c>
      <c r="I9" s="16" t="str">
        <f t="shared" si="1"/>
        <v>Asset management companies</v>
      </c>
      <c r="J9" s="148"/>
      <c r="K9" s="147" t="s">
        <v>630</v>
      </c>
      <c r="L9" s="148" t="s">
        <v>631</v>
      </c>
      <c r="M9" s="148" t="s">
        <v>632</v>
      </c>
      <c r="N9" s="148"/>
      <c r="S9" s="147" t="s">
        <v>633</v>
      </c>
      <c r="T9" s="16" t="s">
        <v>634</v>
      </c>
      <c r="U9" s="149" t="s">
        <v>635</v>
      </c>
      <c r="AA9" s="146" t="s">
        <v>636</v>
      </c>
      <c r="AB9" t="s">
        <v>192</v>
      </c>
      <c r="AC9" t="s">
        <v>192</v>
      </c>
      <c r="AE9" s="146" t="s">
        <v>637</v>
      </c>
      <c r="AF9" t="s">
        <v>88</v>
      </c>
      <c r="AG9" t="s">
        <v>88</v>
      </c>
    </row>
    <row r="10" spans="1:45" ht="15.75" thickBot="1">
      <c r="A10" s="150" t="s">
        <v>638</v>
      </c>
      <c r="B10" s="147" t="s">
        <v>639</v>
      </c>
      <c r="C10" t="s">
        <v>640</v>
      </c>
      <c r="D10" t="str">
        <f t="shared" si="0"/>
        <v>BG-State Agency for National Security - Financial Intelligence Directorate</v>
      </c>
      <c r="E10" s="16" t="s">
        <v>548</v>
      </c>
      <c r="G10" s="147" t="s">
        <v>641</v>
      </c>
      <c r="H10" s="16" t="s">
        <v>642</v>
      </c>
      <c r="I10" s="16" t="str">
        <f t="shared" si="1"/>
        <v>CASP</v>
      </c>
      <c r="J10" s="148"/>
      <c r="K10" s="147" t="s">
        <v>643</v>
      </c>
      <c r="L10" s="148" t="s">
        <v>644</v>
      </c>
      <c r="M10" s="148" t="s">
        <v>645</v>
      </c>
      <c r="N10" s="148"/>
      <c r="S10" s="147" t="s">
        <v>646</v>
      </c>
      <c r="T10" s="16" t="s">
        <v>647</v>
      </c>
      <c r="U10" s="149" t="s">
        <v>648</v>
      </c>
      <c r="AA10" s="146" t="s">
        <v>649</v>
      </c>
      <c r="AB10" t="s">
        <v>199</v>
      </c>
      <c r="AC10" t="s">
        <v>199</v>
      </c>
      <c r="AE10" s="146" t="s">
        <v>650</v>
      </c>
      <c r="AF10" t="s">
        <v>89</v>
      </c>
      <c r="AG10" t="s">
        <v>89</v>
      </c>
    </row>
    <row r="11" spans="1:45" ht="15.75" thickBot="1">
      <c r="A11" s="150" t="s">
        <v>651</v>
      </c>
      <c r="B11" s="147" t="s">
        <v>652</v>
      </c>
      <c r="C11" t="s">
        <v>653</v>
      </c>
      <c r="D11" t="str">
        <f t="shared" si="0"/>
        <v>HR-Croatian National Bank</v>
      </c>
      <c r="E11" s="16" t="s">
        <v>567</v>
      </c>
      <c r="G11" s="147" t="s">
        <v>654</v>
      </c>
      <c r="H11" s="16" t="s">
        <v>655</v>
      </c>
      <c r="I11" s="16" t="str">
        <f t="shared" si="1"/>
        <v>Other financial institutions</v>
      </c>
      <c r="J11" s="148"/>
      <c r="K11" s="147" t="s">
        <v>656</v>
      </c>
      <c r="L11" s="148" t="s">
        <v>657</v>
      </c>
      <c r="M11" s="148" t="s">
        <v>658</v>
      </c>
      <c r="N11" s="148"/>
      <c r="S11" s="147" t="s">
        <v>659</v>
      </c>
      <c r="T11" s="16" t="s">
        <v>660</v>
      </c>
      <c r="U11" s="149" t="s">
        <v>661</v>
      </c>
      <c r="AA11" s="146" t="s">
        <v>662</v>
      </c>
      <c r="AB11" t="s">
        <v>209</v>
      </c>
      <c r="AC11" t="s">
        <v>209</v>
      </c>
      <c r="AE11" s="146" t="s">
        <v>663</v>
      </c>
      <c r="AF11" t="s">
        <v>90</v>
      </c>
      <c r="AG11" t="s">
        <v>90</v>
      </c>
    </row>
    <row r="12" spans="1:45" ht="15.75" thickBot="1">
      <c r="A12" s="150" t="s">
        <v>664</v>
      </c>
      <c r="B12" s="147" t="s">
        <v>665</v>
      </c>
      <c r="C12" t="s">
        <v>666</v>
      </c>
      <c r="D12" t="str">
        <f t="shared" si="0"/>
        <v>HR-Croatian Financial Services Supervisory Agency</v>
      </c>
      <c r="E12" s="16" t="s">
        <v>567</v>
      </c>
      <c r="J12" s="148"/>
      <c r="K12" s="147" t="s">
        <v>667</v>
      </c>
      <c r="L12" s="148" t="s">
        <v>668</v>
      </c>
      <c r="M12" s="148" t="s">
        <v>669</v>
      </c>
      <c r="N12" s="148"/>
      <c r="S12" s="147" t="s">
        <v>670</v>
      </c>
      <c r="T12" s="16" t="s">
        <v>671</v>
      </c>
      <c r="U12" s="149" t="s">
        <v>672</v>
      </c>
      <c r="AA12" s="146" t="s">
        <v>673</v>
      </c>
      <c r="AB12" t="s">
        <v>220</v>
      </c>
      <c r="AC12" t="s">
        <v>220</v>
      </c>
      <c r="AE12" s="146" t="s">
        <v>674</v>
      </c>
      <c r="AF12" t="s">
        <v>91</v>
      </c>
      <c r="AG12" t="s">
        <v>91</v>
      </c>
    </row>
    <row r="13" spans="1:45" ht="15.75" thickBot="1">
      <c r="A13" s="150" t="s">
        <v>675</v>
      </c>
      <c r="B13" s="147" t="s">
        <v>676</v>
      </c>
      <c r="C13" t="s">
        <v>677</v>
      </c>
      <c r="D13" t="str">
        <f t="shared" si="0"/>
        <v>HR-MINISTRY OF FINANCE, FINANCIAL INSPECTORATE</v>
      </c>
      <c r="E13" s="16" t="s">
        <v>567</v>
      </c>
      <c r="J13" s="148"/>
      <c r="K13" s="147" t="s">
        <v>678</v>
      </c>
      <c r="L13" s="148" t="s">
        <v>679</v>
      </c>
      <c r="M13" s="148" t="s">
        <v>680</v>
      </c>
      <c r="N13" s="148"/>
      <c r="S13" s="147" t="s">
        <v>681</v>
      </c>
      <c r="T13" s="16" t="s">
        <v>682</v>
      </c>
      <c r="U13" s="149" t="s">
        <v>683</v>
      </c>
      <c r="AA13" s="146" t="s">
        <v>684</v>
      </c>
      <c r="AB13" t="s">
        <v>228</v>
      </c>
      <c r="AC13" t="s">
        <v>228</v>
      </c>
      <c r="AE13" s="146" t="s">
        <v>685</v>
      </c>
      <c r="AF13" t="s">
        <v>92</v>
      </c>
      <c r="AG13" t="s">
        <v>92</v>
      </c>
    </row>
    <row r="14" spans="1:45" ht="15.75" thickBot="1">
      <c r="A14" s="150" t="s">
        <v>686</v>
      </c>
      <c r="B14" s="147" t="s">
        <v>687</v>
      </c>
      <c r="C14" t="s">
        <v>688</v>
      </c>
      <c r="D14" t="str">
        <f t="shared" si="0"/>
        <v>CY-Central Bank of Cyprus</v>
      </c>
      <c r="E14" s="16" t="s">
        <v>584</v>
      </c>
      <c r="J14" s="148"/>
      <c r="K14" s="147" t="s">
        <v>689</v>
      </c>
      <c r="L14" s="148" t="s">
        <v>690</v>
      </c>
      <c r="M14" s="148" t="s">
        <v>691</v>
      </c>
      <c r="N14" s="148"/>
      <c r="S14" s="147" t="s">
        <v>692</v>
      </c>
      <c r="T14" s="16" t="s">
        <v>693</v>
      </c>
      <c r="U14" s="149" t="s">
        <v>694</v>
      </c>
      <c r="AA14" s="146" t="s">
        <v>695</v>
      </c>
      <c r="AB14" t="s">
        <v>232</v>
      </c>
      <c r="AC14" t="s">
        <v>232</v>
      </c>
      <c r="AE14" s="146" t="s">
        <v>696</v>
      </c>
      <c r="AF14" t="s">
        <v>93</v>
      </c>
      <c r="AG14" t="s">
        <v>93</v>
      </c>
    </row>
    <row r="15" spans="1:45" ht="15.75" thickBot="1">
      <c r="A15" s="150" t="s">
        <v>697</v>
      </c>
      <c r="B15" s="147" t="s">
        <v>698</v>
      </c>
      <c r="C15" t="s">
        <v>699</v>
      </c>
      <c r="D15" t="str">
        <f t="shared" si="0"/>
        <v>CY-Cyprus Securities and Exchange Commission</v>
      </c>
      <c r="E15" s="16" t="s">
        <v>584</v>
      </c>
      <c r="J15" s="148"/>
      <c r="K15" s="147" t="s">
        <v>700</v>
      </c>
      <c r="L15" s="148" t="s">
        <v>701</v>
      </c>
      <c r="M15" s="148" t="s">
        <v>702</v>
      </c>
      <c r="N15" s="148"/>
      <c r="S15" s="147" t="s">
        <v>505</v>
      </c>
      <c r="T15" s="16" t="s">
        <v>503</v>
      </c>
      <c r="U15" s="149" t="s">
        <v>506</v>
      </c>
      <c r="AA15" s="146" t="s">
        <v>703</v>
      </c>
      <c r="AB15" t="s">
        <v>240</v>
      </c>
      <c r="AC15" t="s">
        <v>240</v>
      </c>
      <c r="AE15" s="146" t="s">
        <v>704</v>
      </c>
      <c r="AF15" t="s">
        <v>94</v>
      </c>
      <c r="AG15" t="s">
        <v>94</v>
      </c>
    </row>
    <row r="16" spans="1:45" ht="15.75" thickBot="1">
      <c r="A16" s="150" t="s">
        <v>705</v>
      </c>
      <c r="B16" s="147" t="s">
        <v>706</v>
      </c>
      <c r="C16" t="s">
        <v>707</v>
      </c>
      <c r="D16" t="str">
        <f t="shared" si="0"/>
        <v>CY-Superintendent of Insurance</v>
      </c>
      <c r="E16" s="16" t="s">
        <v>584</v>
      </c>
      <c r="J16" s="148"/>
      <c r="K16" s="147" t="s">
        <v>708</v>
      </c>
      <c r="L16" s="148" t="s">
        <v>709</v>
      </c>
      <c r="M16" s="148" t="s">
        <v>710</v>
      </c>
      <c r="N16" s="148"/>
      <c r="S16" s="147" t="s">
        <v>711</v>
      </c>
      <c r="T16" s="16" t="s">
        <v>712</v>
      </c>
      <c r="U16" s="149" t="s">
        <v>713</v>
      </c>
      <c r="AA16" s="146" t="s">
        <v>714</v>
      </c>
      <c r="AB16" t="s">
        <v>247</v>
      </c>
      <c r="AC16" t="s">
        <v>247</v>
      </c>
      <c r="AE16" s="146" t="s">
        <v>715</v>
      </c>
      <c r="AF16" t="s">
        <v>95</v>
      </c>
      <c r="AG16" t="s">
        <v>95</v>
      </c>
    </row>
    <row r="17" spans="1:33" ht="15.75" thickBot="1">
      <c r="A17" s="150" t="s">
        <v>716</v>
      </c>
      <c r="B17" s="147" t="s">
        <v>717</v>
      </c>
      <c r="C17" t="s">
        <v>718</v>
      </c>
      <c r="D17" t="str">
        <f t="shared" si="0"/>
        <v>CZ-Czech National Bank</v>
      </c>
      <c r="E17" s="16" t="s">
        <v>601</v>
      </c>
      <c r="J17" s="148"/>
      <c r="K17" s="147" t="s">
        <v>719</v>
      </c>
      <c r="L17" s="148" t="s">
        <v>720</v>
      </c>
      <c r="M17" s="148" t="s">
        <v>721</v>
      </c>
      <c r="N17" s="148"/>
      <c r="S17" s="147" t="s">
        <v>722</v>
      </c>
      <c r="T17" s="16" t="s">
        <v>723</v>
      </c>
      <c r="U17" s="149" t="s">
        <v>724</v>
      </c>
      <c r="AA17" s="146" t="s">
        <v>725</v>
      </c>
      <c r="AB17" t="s">
        <v>255</v>
      </c>
      <c r="AC17" t="s">
        <v>255</v>
      </c>
      <c r="AE17" s="146" t="s">
        <v>726</v>
      </c>
      <c r="AF17" t="s">
        <v>96</v>
      </c>
      <c r="AG17" t="s">
        <v>96</v>
      </c>
    </row>
    <row r="18" spans="1:33" ht="15.75" customHeight="1" thickBot="1">
      <c r="A18" s="150" t="s">
        <v>727</v>
      </c>
      <c r="B18" s="147" t="s">
        <v>728</v>
      </c>
      <c r="C18" t="s">
        <v>729</v>
      </c>
      <c r="D18" t="str">
        <f t="shared" si="0"/>
        <v>DE-Federal Financial Supervisory Authority</v>
      </c>
      <c r="E18" t="s">
        <v>668</v>
      </c>
      <c r="J18" s="148"/>
      <c r="K18" s="147" t="s">
        <v>730</v>
      </c>
      <c r="L18" s="148" t="s">
        <v>731</v>
      </c>
      <c r="M18" s="148" t="s">
        <v>732</v>
      </c>
      <c r="N18" s="148"/>
      <c r="S18" s="147" t="s">
        <v>733</v>
      </c>
      <c r="T18" t="s">
        <v>734</v>
      </c>
      <c r="U18" s="149" t="s">
        <v>735</v>
      </c>
      <c r="AA18" s="146" t="s">
        <v>736</v>
      </c>
      <c r="AB18" t="s">
        <v>258</v>
      </c>
      <c r="AC18" t="s">
        <v>258</v>
      </c>
      <c r="AE18" s="146" t="s">
        <v>737</v>
      </c>
      <c r="AF18" t="s">
        <v>97</v>
      </c>
      <c r="AG18" t="s">
        <v>97</v>
      </c>
    </row>
    <row r="19" spans="1:33" ht="15.75" thickBot="1">
      <c r="A19" s="150" t="s">
        <v>738</v>
      </c>
      <c r="B19" s="147" t="s">
        <v>739</v>
      </c>
      <c r="C19" t="s">
        <v>740</v>
      </c>
      <c r="D19" t="str">
        <f t="shared" si="0"/>
        <v>DK-Danish Financial Supervisory Authority</v>
      </c>
      <c r="E19" t="s">
        <v>616</v>
      </c>
      <c r="J19" s="148"/>
      <c r="K19" s="147" t="s">
        <v>741</v>
      </c>
      <c r="L19" s="148" t="s">
        <v>742</v>
      </c>
      <c r="M19" s="148" t="s">
        <v>743</v>
      </c>
      <c r="N19" s="148"/>
      <c r="S19" s="147" t="s">
        <v>744</v>
      </c>
      <c r="T19" t="s">
        <v>745</v>
      </c>
      <c r="U19" s="149" t="s">
        <v>746</v>
      </c>
      <c r="AA19" s="146" t="s">
        <v>747</v>
      </c>
      <c r="AB19" t="s">
        <v>261</v>
      </c>
      <c r="AC19" t="s">
        <v>261</v>
      </c>
      <c r="AE19" s="146" t="s">
        <v>748</v>
      </c>
      <c r="AF19" t="s">
        <v>98</v>
      </c>
      <c r="AG19" t="s">
        <v>98</v>
      </c>
    </row>
    <row r="20" spans="1:33" ht="15.75" thickBot="1">
      <c r="A20" s="150" t="s">
        <v>749</v>
      </c>
      <c r="B20" s="147" t="s">
        <v>750</v>
      </c>
      <c r="C20" t="s">
        <v>751</v>
      </c>
      <c r="D20" t="str">
        <f t="shared" si="0"/>
        <v>EE-Financial Supervision and Resolution Authority</v>
      </c>
      <c r="E20" t="s">
        <v>631</v>
      </c>
      <c r="J20" s="148"/>
      <c r="K20" s="147" t="s">
        <v>752</v>
      </c>
      <c r="L20" s="148" t="s">
        <v>753</v>
      </c>
      <c r="M20" s="148" t="s">
        <v>754</v>
      </c>
      <c r="N20" s="148"/>
      <c r="S20" s="147" t="s">
        <v>755</v>
      </c>
      <c r="T20" t="s">
        <v>756</v>
      </c>
      <c r="U20" s="149" t="s">
        <v>757</v>
      </c>
      <c r="AA20" s="146" t="s">
        <v>758</v>
      </c>
      <c r="AB20" t="s">
        <v>265</v>
      </c>
      <c r="AC20" t="s">
        <v>265</v>
      </c>
      <c r="AE20" s="146" t="s">
        <v>759</v>
      </c>
      <c r="AF20" t="s">
        <v>99</v>
      </c>
      <c r="AG20" t="s">
        <v>99</v>
      </c>
    </row>
    <row r="21" spans="1:33" ht="15.75" thickBot="1">
      <c r="A21" s="150" t="s">
        <v>760</v>
      </c>
      <c r="B21" s="147" t="s">
        <v>761</v>
      </c>
      <c r="C21" t="s">
        <v>762</v>
      </c>
      <c r="D21" t="str">
        <f t="shared" si="0"/>
        <v>EE-Estonian Financial Intelligence Unit</v>
      </c>
      <c r="E21" t="s">
        <v>631</v>
      </c>
      <c r="J21" s="148"/>
      <c r="K21" s="147" t="s">
        <v>763</v>
      </c>
      <c r="L21" s="148" t="s">
        <v>764</v>
      </c>
      <c r="M21" s="148" t="s">
        <v>765</v>
      </c>
      <c r="N21" s="148"/>
      <c r="S21" s="147" t="s">
        <v>766</v>
      </c>
      <c r="T21" t="s">
        <v>767</v>
      </c>
      <c r="U21" s="149" t="s">
        <v>768</v>
      </c>
      <c r="AA21" s="146" t="s">
        <v>769</v>
      </c>
      <c r="AB21" t="s">
        <v>289</v>
      </c>
      <c r="AC21" t="s">
        <v>289</v>
      </c>
      <c r="AE21" s="146" t="s">
        <v>770</v>
      </c>
      <c r="AF21" t="s">
        <v>100</v>
      </c>
      <c r="AG21" t="s">
        <v>100</v>
      </c>
    </row>
    <row r="22" spans="1:33" ht="15.75" thickBot="1">
      <c r="A22" s="150" t="s">
        <v>771</v>
      </c>
      <c r="B22" s="147" t="s">
        <v>772</v>
      </c>
      <c r="C22" t="s">
        <v>773</v>
      </c>
      <c r="D22" t="str">
        <f t="shared" si="0"/>
        <v>EL-Bank of Greece</v>
      </c>
      <c r="E22" t="s">
        <v>774</v>
      </c>
      <c r="J22" s="148"/>
      <c r="K22" s="147" t="s">
        <v>775</v>
      </c>
      <c r="L22" s="148" t="s">
        <v>776</v>
      </c>
      <c r="M22" s="148" t="s">
        <v>777</v>
      </c>
      <c r="N22" s="148"/>
      <c r="S22" s="147" t="s">
        <v>525</v>
      </c>
      <c r="T22" t="s">
        <v>526</v>
      </c>
      <c r="U22" s="149" t="s">
        <v>527</v>
      </c>
      <c r="AA22" s="146" t="s">
        <v>778</v>
      </c>
      <c r="AB22" t="s">
        <v>300</v>
      </c>
      <c r="AC22" t="s">
        <v>300</v>
      </c>
      <c r="AE22" s="146" t="s">
        <v>779</v>
      </c>
      <c r="AF22" t="s">
        <v>101</v>
      </c>
      <c r="AG22" t="s">
        <v>101</v>
      </c>
    </row>
    <row r="23" spans="1:33" ht="15.75" thickBot="1">
      <c r="A23" s="150" t="s">
        <v>780</v>
      </c>
      <c r="B23" s="147" t="s">
        <v>781</v>
      </c>
      <c r="C23" t="s">
        <v>782</v>
      </c>
      <c r="D23" t="str">
        <f t="shared" si="0"/>
        <v xml:space="preserve">EL-Hellenic Capital Marekt Commission </v>
      </c>
      <c r="E23" t="s">
        <v>774</v>
      </c>
      <c r="J23" s="148"/>
      <c r="K23" s="147" t="s">
        <v>783</v>
      </c>
      <c r="L23" s="148" t="s">
        <v>784</v>
      </c>
      <c r="M23" s="148" t="s">
        <v>785</v>
      </c>
      <c r="N23" s="148"/>
      <c r="S23" s="147" t="s">
        <v>786</v>
      </c>
      <c r="T23" t="s">
        <v>787</v>
      </c>
      <c r="U23" s="149" t="s">
        <v>788</v>
      </c>
      <c r="AA23" s="146" t="s">
        <v>789</v>
      </c>
      <c r="AB23" t="s">
        <v>303</v>
      </c>
      <c r="AC23" t="s">
        <v>303</v>
      </c>
      <c r="AE23" s="146" t="s">
        <v>790</v>
      </c>
      <c r="AF23" t="s">
        <v>102</v>
      </c>
      <c r="AG23" t="s">
        <v>102</v>
      </c>
    </row>
    <row r="24" spans="1:33" ht="15.75" thickBot="1">
      <c r="A24" s="150" t="s">
        <v>791</v>
      </c>
      <c r="B24" s="147" t="s">
        <v>792</v>
      </c>
      <c r="C24" t="s">
        <v>793</v>
      </c>
      <c r="D24" t="str">
        <f t="shared" si="0"/>
        <v>ES-Executive Service of the Commission for the Prevention of Money Laundering and Monetary Offences</v>
      </c>
      <c r="E24" t="s">
        <v>794</v>
      </c>
      <c r="J24" s="148"/>
      <c r="K24" s="147" t="s">
        <v>795</v>
      </c>
      <c r="L24" s="148" t="s">
        <v>796</v>
      </c>
      <c r="M24" s="148" t="s">
        <v>797</v>
      </c>
      <c r="N24" s="148"/>
      <c r="S24" s="147" t="s">
        <v>798</v>
      </c>
      <c r="T24" t="s">
        <v>799</v>
      </c>
      <c r="U24" s="149" t="s">
        <v>800</v>
      </c>
      <c r="AA24" s="146" t="s">
        <v>801</v>
      </c>
      <c r="AB24" t="s">
        <v>309</v>
      </c>
      <c r="AC24" t="s">
        <v>309</v>
      </c>
      <c r="AE24" s="146" t="s">
        <v>802</v>
      </c>
      <c r="AF24" t="s">
        <v>103</v>
      </c>
      <c r="AG24" t="s">
        <v>103</v>
      </c>
    </row>
    <row r="25" spans="1:33" ht="15.75" thickBot="1">
      <c r="A25" s="150" t="s">
        <v>803</v>
      </c>
      <c r="B25" s="147" t="s">
        <v>804</v>
      </c>
      <c r="C25" t="s">
        <v>805</v>
      </c>
      <c r="D25" t="str">
        <f t="shared" si="0"/>
        <v>ES-Secretariat of the Commission for the Prevention of Money Laundering and Monetary Offences</v>
      </c>
      <c r="E25" t="s">
        <v>794</v>
      </c>
      <c r="J25" s="148"/>
      <c r="K25" s="147" t="s">
        <v>806</v>
      </c>
      <c r="L25" s="148" t="s">
        <v>807</v>
      </c>
      <c r="M25" s="148" t="s">
        <v>808</v>
      </c>
      <c r="N25" s="148"/>
      <c r="S25" s="147" t="s">
        <v>809</v>
      </c>
      <c r="T25" t="s">
        <v>810</v>
      </c>
      <c r="U25" s="149" t="s">
        <v>811</v>
      </c>
      <c r="AA25" s="146" t="s">
        <v>812</v>
      </c>
      <c r="AB25" t="s">
        <v>316</v>
      </c>
      <c r="AC25" t="s">
        <v>316</v>
      </c>
      <c r="AE25" s="146" t="s">
        <v>813</v>
      </c>
      <c r="AF25" t="s">
        <v>104</v>
      </c>
      <c r="AG25" t="s">
        <v>104</v>
      </c>
    </row>
    <row r="26" spans="1:33" ht="15.75" thickBot="1">
      <c r="A26" s="150" t="s">
        <v>814</v>
      </c>
      <c r="B26" s="147" t="s">
        <v>815</v>
      </c>
      <c r="C26" t="s">
        <v>816</v>
      </c>
      <c r="D26" t="str">
        <f t="shared" si="0"/>
        <v>ES-Bank of Spain</v>
      </c>
      <c r="E26" t="s">
        <v>794</v>
      </c>
      <c r="J26" s="148"/>
      <c r="K26" s="147" t="s">
        <v>817</v>
      </c>
      <c r="L26" s="148" t="s">
        <v>818</v>
      </c>
      <c r="M26" s="148" t="s">
        <v>819</v>
      </c>
      <c r="N26" s="148"/>
      <c r="S26" s="147" t="s">
        <v>820</v>
      </c>
      <c r="T26" t="s">
        <v>821</v>
      </c>
      <c r="U26" s="149" t="s">
        <v>822</v>
      </c>
      <c r="AA26" s="146" t="s">
        <v>823</v>
      </c>
      <c r="AB26" t="s">
        <v>331</v>
      </c>
      <c r="AC26" t="s">
        <v>331</v>
      </c>
      <c r="AE26" s="146" t="s">
        <v>824</v>
      </c>
      <c r="AF26" t="s">
        <v>105</v>
      </c>
      <c r="AG26" t="s">
        <v>105</v>
      </c>
    </row>
    <row r="27" spans="1:33" ht="23.25" customHeight="1" thickBot="1">
      <c r="A27" s="150" t="s">
        <v>825</v>
      </c>
      <c r="B27" s="147" t="s">
        <v>826</v>
      </c>
      <c r="C27" t="s">
        <v>827</v>
      </c>
      <c r="D27" t="str">
        <f t="shared" si="0"/>
        <v>ES-National Securities Market Commission</v>
      </c>
      <c r="E27" t="s">
        <v>794</v>
      </c>
      <c r="J27" s="148"/>
      <c r="K27" s="147" t="s">
        <v>828</v>
      </c>
      <c r="L27" s="148" t="s">
        <v>794</v>
      </c>
      <c r="M27" s="148" t="s">
        <v>829</v>
      </c>
      <c r="N27" s="148"/>
      <c r="S27" s="147" t="s">
        <v>830</v>
      </c>
      <c r="T27" t="s">
        <v>831</v>
      </c>
      <c r="U27" s="149" t="s">
        <v>832</v>
      </c>
      <c r="AA27" s="146" t="s">
        <v>833</v>
      </c>
      <c r="AB27" t="s">
        <v>337</v>
      </c>
      <c r="AC27" t="s">
        <v>337</v>
      </c>
      <c r="AE27" s="146" t="s">
        <v>834</v>
      </c>
      <c r="AF27" t="s">
        <v>106</v>
      </c>
      <c r="AG27" t="s">
        <v>106</v>
      </c>
    </row>
    <row r="28" spans="1:33" ht="15.75" thickBot="1">
      <c r="A28" s="150" t="s">
        <v>835</v>
      </c>
      <c r="B28" s="147" t="s">
        <v>836</v>
      </c>
      <c r="C28" t="s">
        <v>837</v>
      </c>
      <c r="D28" t="str">
        <f t="shared" si="0"/>
        <v>ES-DG Insurance and Pension Funds</v>
      </c>
      <c r="E28" t="s">
        <v>794</v>
      </c>
      <c r="J28" s="148"/>
      <c r="K28" s="147" t="s">
        <v>838</v>
      </c>
      <c r="L28" s="148" t="s">
        <v>839</v>
      </c>
      <c r="M28" s="148" t="s">
        <v>840</v>
      </c>
      <c r="N28" s="148"/>
      <c r="S28" s="147" t="s">
        <v>841</v>
      </c>
      <c r="T28" t="s">
        <v>842</v>
      </c>
      <c r="U28" s="149" t="s">
        <v>843</v>
      </c>
      <c r="AA28" s="146" t="s">
        <v>844</v>
      </c>
      <c r="AB28" t="s">
        <v>349</v>
      </c>
      <c r="AC28" t="s">
        <v>349</v>
      </c>
      <c r="AE28" s="146" t="s">
        <v>845</v>
      </c>
      <c r="AF28" t="s">
        <v>107</v>
      </c>
      <c r="AG28" t="s">
        <v>107</v>
      </c>
    </row>
    <row r="29" spans="1:33" ht="15.75" thickBot="1">
      <c r="A29" s="150" t="s">
        <v>846</v>
      </c>
      <c r="B29" s="147" t="s">
        <v>847</v>
      </c>
      <c r="C29" t="s">
        <v>848</v>
      </c>
      <c r="D29" t="str">
        <f t="shared" si="0"/>
        <v>FI-Financial Supervisory Authority</v>
      </c>
      <c r="E29" t="s">
        <v>644</v>
      </c>
      <c r="S29" s="147" t="s">
        <v>849</v>
      </c>
      <c r="T29" t="s">
        <v>850</v>
      </c>
      <c r="U29" s="149" t="s">
        <v>851</v>
      </c>
      <c r="AA29" s="146" t="s">
        <v>514</v>
      </c>
      <c r="AB29" t="s">
        <v>373</v>
      </c>
      <c r="AC29" t="s">
        <v>373</v>
      </c>
      <c r="AE29" s="146" t="s">
        <v>852</v>
      </c>
      <c r="AF29" t="s">
        <v>108</v>
      </c>
      <c r="AG29" t="s">
        <v>108</v>
      </c>
    </row>
    <row r="30" spans="1:33" ht="27.75" customHeight="1" thickBot="1">
      <c r="A30" s="150" t="s">
        <v>853</v>
      </c>
      <c r="B30" s="147" t="s">
        <v>854</v>
      </c>
      <c r="C30" t="s">
        <v>855</v>
      </c>
      <c r="D30" t="str">
        <f t="shared" si="0"/>
        <v>FR-Prudential Supervision and Resolution Authority</v>
      </c>
      <c r="E30" t="s">
        <v>657</v>
      </c>
      <c r="S30" s="147" t="s">
        <v>856</v>
      </c>
      <c r="T30" t="s">
        <v>857</v>
      </c>
      <c r="U30" s="149" t="s">
        <v>858</v>
      </c>
      <c r="AA30" s="146" t="s">
        <v>535</v>
      </c>
      <c r="AB30" t="s">
        <v>384</v>
      </c>
      <c r="AC30" t="s">
        <v>384</v>
      </c>
      <c r="AE30" s="146" t="s">
        <v>859</v>
      </c>
      <c r="AF30" t="s">
        <v>109</v>
      </c>
      <c r="AG30" t="s">
        <v>109</v>
      </c>
    </row>
    <row r="31" spans="1:33" ht="15.75" thickBot="1">
      <c r="A31" s="150" t="s">
        <v>860</v>
      </c>
      <c r="B31" s="147" t="s">
        <v>861</v>
      </c>
      <c r="C31" t="s">
        <v>862</v>
      </c>
      <c r="D31" t="str">
        <f t="shared" si="0"/>
        <v>FR-French Financial Markets Authority</v>
      </c>
      <c r="E31" t="s">
        <v>657</v>
      </c>
      <c r="S31" s="147" t="s">
        <v>863</v>
      </c>
      <c r="T31" t="s">
        <v>864</v>
      </c>
      <c r="U31" s="149" t="s">
        <v>865</v>
      </c>
      <c r="AA31" s="146" t="s">
        <v>556</v>
      </c>
      <c r="AB31" t="s">
        <v>393</v>
      </c>
      <c r="AC31" t="s">
        <v>393</v>
      </c>
    </row>
    <row r="32" spans="1:33" ht="15.75" customHeight="1" thickBot="1">
      <c r="A32" s="150" t="s">
        <v>866</v>
      </c>
      <c r="B32" s="147" t="s">
        <v>867</v>
      </c>
      <c r="C32" t="s">
        <v>868</v>
      </c>
      <c r="D32" t="str">
        <f t="shared" si="0"/>
        <v>HU-Central Bank of Hungary</v>
      </c>
      <c r="E32" t="s">
        <v>690</v>
      </c>
      <c r="S32" s="147" t="s">
        <v>869</v>
      </c>
      <c r="T32" t="s">
        <v>870</v>
      </c>
      <c r="U32" s="149" t="s">
        <v>871</v>
      </c>
      <c r="AA32" s="146" t="s">
        <v>575</v>
      </c>
      <c r="AB32" t="s">
        <v>415</v>
      </c>
      <c r="AC32" t="s">
        <v>415</v>
      </c>
    </row>
    <row r="33" spans="1:29" ht="15.75" thickBot="1">
      <c r="A33" s="150" t="s">
        <v>872</v>
      </c>
      <c r="B33" s="147" t="s">
        <v>873</v>
      </c>
      <c r="C33" t="s">
        <v>874</v>
      </c>
      <c r="D33" t="str">
        <f t="shared" si="0"/>
        <v>IE-The Central Bank of Ireland</v>
      </c>
      <c r="E33" t="s">
        <v>701</v>
      </c>
      <c r="S33" s="147" t="s">
        <v>875</v>
      </c>
      <c r="T33" t="s">
        <v>876</v>
      </c>
      <c r="U33" s="149" t="s">
        <v>877</v>
      </c>
      <c r="AA33" s="146" t="s">
        <v>592</v>
      </c>
      <c r="AB33" t="s">
        <v>421</v>
      </c>
      <c r="AC33" t="s">
        <v>421</v>
      </c>
    </row>
    <row r="34" spans="1:29" ht="15.75" thickBot="1">
      <c r="A34" s="150" t="s">
        <v>878</v>
      </c>
      <c r="B34" s="147" t="s">
        <v>879</v>
      </c>
      <c r="C34" t="s">
        <v>880</v>
      </c>
      <c r="D34" t="str">
        <f t="shared" si="0"/>
        <v>IT-Bank of Italy</v>
      </c>
      <c r="E34" t="s">
        <v>709</v>
      </c>
      <c r="S34" s="147" t="s">
        <v>881</v>
      </c>
      <c r="T34" t="s">
        <v>882</v>
      </c>
      <c r="U34" s="149" t="s">
        <v>883</v>
      </c>
    </row>
    <row r="35" spans="1:29" ht="15.75" thickBot="1">
      <c r="A35" s="150" t="s">
        <v>884</v>
      </c>
      <c r="B35" s="147" t="s">
        <v>885</v>
      </c>
      <c r="C35" t="s">
        <v>886</v>
      </c>
      <c r="D35" t="str">
        <f t="shared" si="0"/>
        <v>IT-Institute for the Supervision of Insurance</v>
      </c>
      <c r="E35" t="s">
        <v>709</v>
      </c>
      <c r="S35" s="147" t="s">
        <v>547</v>
      </c>
      <c r="T35" t="s">
        <v>548</v>
      </c>
      <c r="U35" s="149" t="s">
        <v>549</v>
      </c>
    </row>
    <row r="36" spans="1:29" ht="15.75" customHeight="1" thickBot="1">
      <c r="A36" s="150" t="s">
        <v>887</v>
      </c>
      <c r="B36" s="147" t="s">
        <v>888</v>
      </c>
      <c r="C36" t="s">
        <v>889</v>
      </c>
      <c r="D36" t="str">
        <f t="shared" si="0"/>
        <v>LT-Lietuvos bankas (central bank of Lithuania)</v>
      </c>
      <c r="E36" t="s">
        <v>731</v>
      </c>
      <c r="S36" s="147" t="s">
        <v>890</v>
      </c>
      <c r="T36" t="s">
        <v>891</v>
      </c>
      <c r="U36" s="149" t="s">
        <v>892</v>
      </c>
    </row>
    <row r="37" spans="1:29" ht="15.75" thickBot="1">
      <c r="A37" s="150" t="s">
        <v>893</v>
      </c>
      <c r="B37" s="147" t="s">
        <v>894</v>
      </c>
      <c r="C37" t="s">
        <v>895</v>
      </c>
      <c r="D37" t="str">
        <f t="shared" si="0"/>
        <v>LT-Financial Crime Investigation Service under the Ministry of the Interior of the Republic of Lithuania</v>
      </c>
      <c r="E37" t="s">
        <v>731</v>
      </c>
      <c r="S37" s="147" t="s">
        <v>896</v>
      </c>
      <c r="T37" t="s">
        <v>897</v>
      </c>
      <c r="U37" s="149" t="s">
        <v>898</v>
      </c>
    </row>
    <row r="38" spans="1:29" ht="15.75" thickBot="1">
      <c r="A38" s="150" t="s">
        <v>899</v>
      </c>
      <c r="B38" s="147" t="s">
        <v>900</v>
      </c>
      <c r="C38" t="s">
        <v>901</v>
      </c>
      <c r="D38" t="str">
        <f t="shared" si="0"/>
        <v>LU-Supervisory Authority of the Financial Sector</v>
      </c>
      <c r="E38" t="s">
        <v>742</v>
      </c>
      <c r="S38" s="147" t="s">
        <v>902</v>
      </c>
      <c r="T38" t="s">
        <v>903</v>
      </c>
      <c r="U38" s="149" t="s">
        <v>904</v>
      </c>
    </row>
    <row r="39" spans="1:29" ht="15.75" thickBot="1">
      <c r="A39" s="150" t="s">
        <v>905</v>
      </c>
      <c r="B39" s="147" t="s">
        <v>906</v>
      </c>
      <c r="C39" t="s">
        <v>907</v>
      </c>
      <c r="D39" t="str">
        <f t="shared" si="0"/>
        <v>LU-Commissariat aux Assurances</v>
      </c>
      <c r="E39" t="s">
        <v>742</v>
      </c>
      <c r="S39" s="147" t="s">
        <v>908</v>
      </c>
      <c r="T39" t="s">
        <v>909</v>
      </c>
      <c r="U39" s="149" t="s">
        <v>910</v>
      </c>
    </row>
    <row r="40" spans="1:29" ht="15.75" thickBot="1">
      <c r="A40" s="150" t="s">
        <v>911</v>
      </c>
      <c r="B40" s="147" t="s">
        <v>912</v>
      </c>
      <c r="C40" t="s">
        <v>913</v>
      </c>
      <c r="D40" t="str">
        <f t="shared" si="0"/>
        <v>LV-Bank of Latvia</v>
      </c>
      <c r="E40" t="s">
        <v>720</v>
      </c>
      <c r="S40" s="147" t="s">
        <v>914</v>
      </c>
      <c r="T40" t="s">
        <v>915</v>
      </c>
      <c r="U40" s="149" t="s">
        <v>916</v>
      </c>
    </row>
    <row r="41" spans="1:29" ht="15.75" thickBot="1">
      <c r="A41" s="150" t="s">
        <v>917</v>
      </c>
      <c r="B41" s="147" t="s">
        <v>918</v>
      </c>
      <c r="C41" t="s">
        <v>919</v>
      </c>
      <c r="D41" t="str">
        <f t="shared" si="0"/>
        <v>MT-Financial Intelligence Analysis Unit</v>
      </c>
      <c r="E41" t="s">
        <v>753</v>
      </c>
      <c r="S41" s="147" t="s">
        <v>920</v>
      </c>
      <c r="T41" t="s">
        <v>921</v>
      </c>
      <c r="U41" s="149" t="s">
        <v>922</v>
      </c>
    </row>
    <row r="42" spans="1:29" ht="15.75" thickBot="1">
      <c r="A42" s="150" t="s">
        <v>923</v>
      </c>
      <c r="B42" s="147" t="s">
        <v>924</v>
      </c>
      <c r="C42" t="s">
        <v>925</v>
      </c>
      <c r="D42" t="str">
        <f t="shared" si="0"/>
        <v>MT-Sanctions Monitoring Board</v>
      </c>
      <c r="E42" t="s">
        <v>753</v>
      </c>
      <c r="S42" s="147" t="s">
        <v>926</v>
      </c>
      <c r="T42" t="s">
        <v>927</v>
      </c>
      <c r="U42" s="149" t="s">
        <v>928</v>
      </c>
    </row>
    <row r="43" spans="1:29" ht="15.75" thickBot="1">
      <c r="A43" s="150" t="s">
        <v>929</v>
      </c>
      <c r="B43" s="147" t="s">
        <v>930</v>
      </c>
      <c r="C43" t="s">
        <v>931</v>
      </c>
      <c r="D43" t="str">
        <f t="shared" si="0"/>
        <v>NL-De Nederlandsche Bank</v>
      </c>
      <c r="E43" t="s">
        <v>764</v>
      </c>
      <c r="S43" s="147" t="s">
        <v>932</v>
      </c>
      <c r="T43" t="s">
        <v>933</v>
      </c>
      <c r="U43" s="149" t="s">
        <v>934</v>
      </c>
    </row>
    <row r="44" spans="1:29" ht="15.75" thickBot="1">
      <c r="A44" s="150" t="s">
        <v>935</v>
      </c>
      <c r="B44" s="147" t="s">
        <v>936</v>
      </c>
      <c r="C44" t="s">
        <v>937</v>
      </c>
      <c r="D44" t="str">
        <f t="shared" si="0"/>
        <v>NL-Authority for the Financial Markets</v>
      </c>
      <c r="E44" t="s">
        <v>764</v>
      </c>
      <c r="S44" s="147" t="s">
        <v>938</v>
      </c>
      <c r="T44" t="s">
        <v>939</v>
      </c>
      <c r="U44" s="149" t="s">
        <v>940</v>
      </c>
    </row>
    <row r="45" spans="1:29" ht="15.75" thickBot="1">
      <c r="A45" s="150" t="s">
        <v>941</v>
      </c>
      <c r="B45" s="147" t="s">
        <v>942</v>
      </c>
      <c r="C45" t="s">
        <v>943</v>
      </c>
      <c r="D45" t="str">
        <f t="shared" si="0"/>
        <v>PL-General Inspector of Financial Information</v>
      </c>
      <c r="E45" t="s">
        <v>776</v>
      </c>
      <c r="S45" s="147" t="s">
        <v>944</v>
      </c>
      <c r="T45" t="s">
        <v>945</v>
      </c>
      <c r="U45" s="149" t="s">
        <v>946</v>
      </c>
    </row>
    <row r="46" spans="1:29" ht="15.75" thickBot="1">
      <c r="A46" s="150" t="s">
        <v>947</v>
      </c>
      <c r="B46" s="147" t="s">
        <v>948</v>
      </c>
      <c r="C46" t="s">
        <v>949</v>
      </c>
      <c r="D46" t="str">
        <f t="shared" si="0"/>
        <v>PL-National Association of Cooperative Savings and Credit Unions</v>
      </c>
      <c r="E46" t="s">
        <v>776</v>
      </c>
      <c r="S46" s="147" t="s">
        <v>950</v>
      </c>
      <c r="T46" t="s">
        <v>951</v>
      </c>
      <c r="U46" s="149" t="s">
        <v>952</v>
      </c>
    </row>
    <row r="47" spans="1:29" ht="15.75" thickBot="1">
      <c r="A47" s="150" t="s">
        <v>953</v>
      </c>
      <c r="B47" s="147" t="s">
        <v>954</v>
      </c>
      <c r="C47" t="s">
        <v>955</v>
      </c>
      <c r="D47" t="str">
        <f t="shared" si="0"/>
        <v xml:space="preserve">PL-Polish Financial Supervision Authority </v>
      </c>
      <c r="E47" t="s">
        <v>776</v>
      </c>
      <c r="S47" s="147" t="s">
        <v>956</v>
      </c>
      <c r="T47" t="s">
        <v>957</v>
      </c>
      <c r="U47" s="149" t="s">
        <v>958</v>
      </c>
    </row>
    <row r="48" spans="1:29" ht="15.75" thickBot="1">
      <c r="A48" s="150" t="s">
        <v>959</v>
      </c>
      <c r="B48" s="147" t="s">
        <v>960</v>
      </c>
      <c r="C48" t="s">
        <v>961</v>
      </c>
      <c r="D48" t="str">
        <f t="shared" si="0"/>
        <v xml:space="preserve">PT-Bank of Portugal (Central Bank) </v>
      </c>
      <c r="E48" t="s">
        <v>784</v>
      </c>
      <c r="S48" s="147" t="s">
        <v>962</v>
      </c>
      <c r="T48" t="s">
        <v>963</v>
      </c>
      <c r="U48" s="149" t="s">
        <v>964</v>
      </c>
    </row>
    <row r="49" spans="1:21" ht="15.75" thickBot="1">
      <c r="A49" s="150" t="s">
        <v>965</v>
      </c>
      <c r="B49" s="147" t="s">
        <v>966</v>
      </c>
      <c r="C49" t="s">
        <v>967</v>
      </c>
      <c r="D49" t="str">
        <f t="shared" si="0"/>
        <v xml:space="preserve">PT-Securities Market Commission </v>
      </c>
      <c r="E49" t="s">
        <v>784</v>
      </c>
      <c r="S49" s="147" t="s">
        <v>968</v>
      </c>
      <c r="T49" t="s">
        <v>969</v>
      </c>
      <c r="U49" s="149" t="s">
        <v>970</v>
      </c>
    </row>
    <row r="50" spans="1:21" ht="15.75" thickBot="1">
      <c r="A50" s="150" t="s">
        <v>971</v>
      </c>
      <c r="B50" s="147" t="s">
        <v>972</v>
      </c>
      <c r="C50" t="s">
        <v>973</v>
      </c>
      <c r="D50" t="str">
        <f t="shared" si="0"/>
        <v xml:space="preserve">PT-Supervisory Authority for Insurance and Pension Funds </v>
      </c>
      <c r="E50" t="s">
        <v>784</v>
      </c>
      <c r="S50" s="147" t="s">
        <v>974</v>
      </c>
      <c r="T50" t="s">
        <v>975</v>
      </c>
      <c r="U50" s="149" t="s">
        <v>976</v>
      </c>
    </row>
    <row r="51" spans="1:21" ht="15.75" thickBot="1">
      <c r="A51" s="150" t="s">
        <v>977</v>
      </c>
      <c r="B51" s="147" t="s">
        <v>978</v>
      </c>
      <c r="C51" t="s">
        <v>979</v>
      </c>
      <c r="D51" t="str">
        <f t="shared" si="0"/>
        <v>RO-National Bank of Romania</v>
      </c>
      <c r="E51" t="s">
        <v>796</v>
      </c>
      <c r="S51" s="147" t="s">
        <v>980</v>
      </c>
      <c r="T51" t="s">
        <v>981</v>
      </c>
      <c r="U51" s="149" t="s">
        <v>982</v>
      </c>
    </row>
    <row r="52" spans="1:21" ht="15.75" thickBot="1">
      <c r="A52" s="150" t="s">
        <v>983</v>
      </c>
      <c r="B52" s="147" t="s">
        <v>984</v>
      </c>
      <c r="C52" t="s">
        <v>985</v>
      </c>
      <c r="D52" t="str">
        <f t="shared" si="0"/>
        <v>RO-National Office for Prevention and Control of Money Laundering</v>
      </c>
      <c r="E52" t="s">
        <v>796</v>
      </c>
      <c r="S52" s="147" t="s">
        <v>986</v>
      </c>
      <c r="T52" t="s">
        <v>987</v>
      </c>
      <c r="U52" s="149" t="s">
        <v>988</v>
      </c>
    </row>
    <row r="53" spans="1:21" ht="15.75" thickBot="1">
      <c r="A53" s="150" t="s">
        <v>989</v>
      </c>
      <c r="B53" s="147" t="s">
        <v>990</v>
      </c>
      <c r="C53" t="s">
        <v>848</v>
      </c>
      <c r="D53" t="str">
        <f t="shared" si="0"/>
        <v>RO-Financial Supervisory Authority</v>
      </c>
      <c r="E53" t="s">
        <v>796</v>
      </c>
      <c r="S53" s="147" t="s">
        <v>991</v>
      </c>
      <c r="T53" t="s">
        <v>992</v>
      </c>
      <c r="U53" s="149" t="s">
        <v>993</v>
      </c>
    </row>
    <row r="54" spans="1:21" ht="15.75" thickBot="1">
      <c r="A54" s="150" t="s">
        <v>994</v>
      </c>
      <c r="B54" s="147" t="s">
        <v>995</v>
      </c>
      <c r="C54" t="s">
        <v>996</v>
      </c>
      <c r="D54" t="str">
        <f t="shared" si="0"/>
        <v>SE-Swedish Financial Supervisory Authority</v>
      </c>
      <c r="E54" t="s">
        <v>839</v>
      </c>
      <c r="S54" s="147" t="s">
        <v>997</v>
      </c>
      <c r="T54" t="s">
        <v>998</v>
      </c>
      <c r="U54" s="149" t="s">
        <v>999</v>
      </c>
    </row>
    <row r="55" spans="1:21" ht="15.75" thickBot="1">
      <c r="A55" s="150" t="s">
        <v>1000</v>
      </c>
      <c r="B55" s="147" t="s">
        <v>1001</v>
      </c>
      <c r="C55" t="s">
        <v>1002</v>
      </c>
      <c r="D55" t="str">
        <f t="shared" si="0"/>
        <v>SI-Bank of Slovenia</v>
      </c>
      <c r="E55" t="s">
        <v>818</v>
      </c>
      <c r="S55" s="147" t="s">
        <v>566</v>
      </c>
      <c r="T55" t="s">
        <v>567</v>
      </c>
      <c r="U55" s="149" t="s">
        <v>568</v>
      </c>
    </row>
    <row r="56" spans="1:21" ht="15.75" thickBot="1">
      <c r="A56" s="150" t="s">
        <v>1003</v>
      </c>
      <c r="B56" s="147" t="s">
        <v>1004</v>
      </c>
      <c r="C56" t="s">
        <v>1005</v>
      </c>
      <c r="D56" t="str">
        <f t="shared" si="0"/>
        <v>SI-Securities Market Agency</v>
      </c>
      <c r="E56" t="s">
        <v>818</v>
      </c>
      <c r="S56" s="147" t="s">
        <v>1006</v>
      </c>
      <c r="T56" t="s">
        <v>1007</v>
      </c>
      <c r="U56" s="149" t="s">
        <v>1008</v>
      </c>
    </row>
    <row r="57" spans="1:21" ht="15.75" thickBot="1">
      <c r="A57" s="150" t="s">
        <v>1009</v>
      </c>
      <c r="B57" s="147" t="s">
        <v>1010</v>
      </c>
      <c r="C57" t="s">
        <v>1011</v>
      </c>
      <c r="D57" t="str">
        <f t="shared" si="0"/>
        <v>SI-Insurance Supervision Agency</v>
      </c>
      <c r="E57" t="s">
        <v>818</v>
      </c>
      <c r="S57" s="147" t="s">
        <v>1012</v>
      </c>
      <c r="T57" t="s">
        <v>1013</v>
      </c>
      <c r="U57" s="149" t="s">
        <v>1014</v>
      </c>
    </row>
    <row r="58" spans="1:21" ht="15.75" thickBot="1">
      <c r="A58" s="150" t="s">
        <v>1015</v>
      </c>
      <c r="B58" s="147" t="s">
        <v>1016</v>
      </c>
      <c r="C58" t="s">
        <v>1017</v>
      </c>
      <c r="D58" t="str">
        <f t="shared" si="0"/>
        <v>SI-Market Inspectorate of the Republic of Slovenia</v>
      </c>
      <c r="E58" t="s">
        <v>818</v>
      </c>
      <c r="S58" s="147" t="s">
        <v>583</v>
      </c>
      <c r="T58" t="s">
        <v>584</v>
      </c>
      <c r="U58" s="149" t="s">
        <v>585</v>
      </c>
    </row>
    <row r="59" spans="1:21" ht="15.75" thickBot="1">
      <c r="A59" s="150" t="s">
        <v>1018</v>
      </c>
      <c r="B59" s="147" t="s">
        <v>1019</v>
      </c>
      <c r="C59" t="s">
        <v>1020</v>
      </c>
      <c r="D59" t="str">
        <f t="shared" si="0"/>
        <v>SK-National Bank of Slovakia</v>
      </c>
      <c r="E59" t="s">
        <v>807</v>
      </c>
      <c r="S59" s="147" t="s">
        <v>600</v>
      </c>
      <c r="T59" t="s">
        <v>601</v>
      </c>
      <c r="U59" s="149" t="s">
        <v>602</v>
      </c>
    </row>
    <row r="60" spans="1:21" ht="15.75" thickBot="1">
      <c r="A60" s="150" t="s">
        <v>1021</v>
      </c>
      <c r="B60" s="147" t="s">
        <v>1022</v>
      </c>
      <c r="C60" t="s">
        <v>1023</v>
      </c>
      <c r="D60" t="str">
        <f t="shared" si="0"/>
        <v>SK-Financial Intelligence Unit of the Police Force Presidium</v>
      </c>
      <c r="E60" t="s">
        <v>807</v>
      </c>
      <c r="S60" s="147" t="s">
        <v>1024</v>
      </c>
      <c r="T60" t="s">
        <v>1025</v>
      </c>
      <c r="U60" s="149" t="s">
        <v>1026</v>
      </c>
    </row>
    <row r="61" spans="1:21" ht="15.75" thickBot="1">
      <c r="S61" s="147" t="s">
        <v>615</v>
      </c>
      <c r="T61" t="s">
        <v>616</v>
      </c>
      <c r="U61" s="149" t="s">
        <v>617</v>
      </c>
    </row>
    <row r="62" spans="1:21" ht="15.75" thickBot="1">
      <c r="S62" s="147" t="s">
        <v>1027</v>
      </c>
      <c r="T62" t="s">
        <v>1028</v>
      </c>
      <c r="U62" s="149" t="s">
        <v>1029</v>
      </c>
    </row>
    <row r="63" spans="1:21" ht="15.75" thickBot="1">
      <c r="S63" s="147" t="s">
        <v>1030</v>
      </c>
      <c r="T63" t="s">
        <v>1031</v>
      </c>
      <c r="U63" s="149" t="s">
        <v>1032</v>
      </c>
    </row>
    <row r="64" spans="1:21" ht="15.75" thickBot="1">
      <c r="S64" s="147" t="s">
        <v>1033</v>
      </c>
      <c r="T64" t="s">
        <v>1034</v>
      </c>
      <c r="U64" s="149" t="s">
        <v>1035</v>
      </c>
    </row>
    <row r="65" spans="19:21" ht="15.75" thickBot="1">
      <c r="S65" s="147" t="s">
        <v>1036</v>
      </c>
      <c r="T65" t="s">
        <v>1037</v>
      </c>
      <c r="U65" s="149" t="s">
        <v>1038</v>
      </c>
    </row>
    <row r="66" spans="19:21" ht="15.75" thickBot="1">
      <c r="S66" s="147" t="s">
        <v>1039</v>
      </c>
      <c r="T66" t="s">
        <v>1040</v>
      </c>
      <c r="U66" s="149" t="s">
        <v>1041</v>
      </c>
    </row>
    <row r="67" spans="19:21" ht="15.75" thickBot="1">
      <c r="S67" s="147" t="s">
        <v>1042</v>
      </c>
      <c r="T67" t="s">
        <v>1043</v>
      </c>
      <c r="U67" s="149" t="s">
        <v>1044</v>
      </c>
    </row>
    <row r="68" spans="19:21" ht="15.75" thickBot="1">
      <c r="S68" s="147" t="s">
        <v>1045</v>
      </c>
      <c r="T68" t="s">
        <v>1046</v>
      </c>
      <c r="U68" s="149" t="s">
        <v>1047</v>
      </c>
    </row>
    <row r="69" spans="19:21" ht="15.75" thickBot="1">
      <c r="S69" s="147" t="s">
        <v>1048</v>
      </c>
      <c r="T69" t="s">
        <v>1049</v>
      </c>
      <c r="U69" s="149" t="s">
        <v>1050</v>
      </c>
    </row>
    <row r="70" spans="19:21" ht="15.75" thickBot="1">
      <c r="S70" s="147" t="s">
        <v>630</v>
      </c>
      <c r="T70" t="s">
        <v>631</v>
      </c>
      <c r="U70" s="149" t="s">
        <v>632</v>
      </c>
    </row>
    <row r="71" spans="19:21" ht="15.75" thickBot="1">
      <c r="S71" s="147" t="s">
        <v>1051</v>
      </c>
      <c r="T71" t="s">
        <v>1052</v>
      </c>
      <c r="U71" s="149" t="s">
        <v>1053</v>
      </c>
    </row>
    <row r="72" spans="19:21" ht="15.75" thickBot="1">
      <c r="S72" s="147" t="s">
        <v>1054</v>
      </c>
      <c r="T72" t="s">
        <v>1055</v>
      </c>
      <c r="U72" s="149" t="s">
        <v>1056</v>
      </c>
    </row>
    <row r="73" spans="19:21" ht="15.75" thickBot="1">
      <c r="S73" s="147" t="s">
        <v>1057</v>
      </c>
      <c r="T73" t="s">
        <v>1058</v>
      </c>
      <c r="U73" s="149" t="s">
        <v>1059</v>
      </c>
    </row>
    <row r="74" spans="19:21" ht="15.75" thickBot="1">
      <c r="S74" s="147" t="s">
        <v>1060</v>
      </c>
      <c r="T74" t="s">
        <v>1061</v>
      </c>
      <c r="U74" s="149" t="s">
        <v>1062</v>
      </c>
    </row>
    <row r="75" spans="19:21" ht="15.75" thickBot="1">
      <c r="S75" s="147" t="s">
        <v>1063</v>
      </c>
      <c r="T75" t="s">
        <v>1064</v>
      </c>
      <c r="U75" s="149" t="s">
        <v>1065</v>
      </c>
    </row>
    <row r="76" spans="19:21" ht="15.75" thickBot="1">
      <c r="S76" s="147" t="s">
        <v>643</v>
      </c>
      <c r="T76" t="s">
        <v>644</v>
      </c>
      <c r="U76" s="149" t="s">
        <v>645</v>
      </c>
    </row>
    <row r="77" spans="19:21" ht="15.75" thickBot="1">
      <c r="S77" s="147" t="s">
        <v>656</v>
      </c>
      <c r="T77" t="s">
        <v>657</v>
      </c>
      <c r="U77" s="149" t="s">
        <v>658</v>
      </c>
    </row>
    <row r="78" spans="19:21" ht="15.75" thickBot="1">
      <c r="S78" s="147" t="s">
        <v>1066</v>
      </c>
      <c r="T78" t="s">
        <v>1067</v>
      </c>
      <c r="U78" s="149" t="s">
        <v>1068</v>
      </c>
    </row>
    <row r="79" spans="19:21" ht="15.75" thickBot="1">
      <c r="S79" s="147" t="s">
        <v>1069</v>
      </c>
      <c r="T79" t="s">
        <v>1070</v>
      </c>
      <c r="U79" s="149" t="s">
        <v>1071</v>
      </c>
    </row>
    <row r="80" spans="19:21" ht="15.75" thickBot="1">
      <c r="S80" s="147" t="s">
        <v>1072</v>
      </c>
      <c r="T80" t="s">
        <v>1073</v>
      </c>
      <c r="U80" s="149" t="s">
        <v>1074</v>
      </c>
    </row>
    <row r="81" spans="19:21" ht="15.75" thickBot="1">
      <c r="S81" s="147" t="s">
        <v>1075</v>
      </c>
      <c r="T81" t="s">
        <v>1076</v>
      </c>
      <c r="U81" s="149" t="s">
        <v>1077</v>
      </c>
    </row>
    <row r="82" spans="19:21" ht="15.75" thickBot="1">
      <c r="S82" s="147" t="s">
        <v>1078</v>
      </c>
      <c r="T82" t="s">
        <v>1079</v>
      </c>
      <c r="U82" s="149" t="s">
        <v>1080</v>
      </c>
    </row>
    <row r="83" spans="19:21" ht="15.75" thickBot="1">
      <c r="S83" s="147" t="s">
        <v>1081</v>
      </c>
      <c r="T83" t="s">
        <v>1082</v>
      </c>
      <c r="U83" s="149" t="s">
        <v>1083</v>
      </c>
    </row>
    <row r="84" spans="19:21" ht="15.75" thickBot="1">
      <c r="S84" s="147" t="s">
        <v>667</v>
      </c>
      <c r="T84" t="s">
        <v>668</v>
      </c>
      <c r="U84" s="149" t="s">
        <v>669</v>
      </c>
    </row>
    <row r="85" spans="19:21" ht="15.75" thickBot="1">
      <c r="S85" s="147" t="s">
        <v>1084</v>
      </c>
      <c r="T85" t="s">
        <v>1085</v>
      </c>
      <c r="U85" s="149" t="s">
        <v>1086</v>
      </c>
    </row>
    <row r="86" spans="19:21" ht="15.75" thickBot="1">
      <c r="S86" s="147" t="s">
        <v>1087</v>
      </c>
      <c r="T86" t="s">
        <v>1088</v>
      </c>
      <c r="U86" s="149" t="s">
        <v>1089</v>
      </c>
    </row>
    <row r="87" spans="19:21" ht="15.75" thickBot="1">
      <c r="S87" s="147" t="s">
        <v>678</v>
      </c>
      <c r="T87" t="s">
        <v>679</v>
      </c>
      <c r="U87" s="149" t="s">
        <v>680</v>
      </c>
    </row>
    <row r="88" spans="19:21" ht="15.75" thickBot="1">
      <c r="S88" s="147" t="s">
        <v>1090</v>
      </c>
      <c r="T88" t="s">
        <v>1091</v>
      </c>
      <c r="U88" s="149" t="s">
        <v>1092</v>
      </c>
    </row>
    <row r="89" spans="19:21" ht="15.75" thickBot="1">
      <c r="S89" s="147" t="s">
        <v>1093</v>
      </c>
      <c r="T89" t="s">
        <v>1094</v>
      </c>
      <c r="U89" s="149" t="s">
        <v>1095</v>
      </c>
    </row>
    <row r="90" spans="19:21" ht="15.75" thickBot="1">
      <c r="S90" s="147" t="s">
        <v>1096</v>
      </c>
      <c r="T90" t="s">
        <v>1097</v>
      </c>
      <c r="U90" s="149" t="s">
        <v>1098</v>
      </c>
    </row>
    <row r="91" spans="19:21" ht="15.75" thickBot="1">
      <c r="S91" s="147" t="s">
        <v>1099</v>
      </c>
      <c r="T91" t="s">
        <v>1100</v>
      </c>
      <c r="U91" s="149" t="s">
        <v>1101</v>
      </c>
    </row>
    <row r="92" spans="19:21" ht="15.75" thickBot="1">
      <c r="S92" s="147" t="s">
        <v>1102</v>
      </c>
      <c r="T92" t="s">
        <v>1103</v>
      </c>
      <c r="U92" s="149" t="s">
        <v>1104</v>
      </c>
    </row>
    <row r="93" spans="19:21" ht="15.75" thickBot="1">
      <c r="S93" s="147" t="s">
        <v>1105</v>
      </c>
      <c r="T93" t="s">
        <v>1106</v>
      </c>
      <c r="U93" s="149" t="s">
        <v>1107</v>
      </c>
    </row>
    <row r="94" spans="19:21" ht="15.75" thickBot="1">
      <c r="S94" s="147" t="s">
        <v>1108</v>
      </c>
      <c r="T94" t="s">
        <v>1109</v>
      </c>
      <c r="U94" s="149" t="s">
        <v>1110</v>
      </c>
    </row>
    <row r="95" spans="19:21" ht="15.75" thickBot="1">
      <c r="S95" s="147" t="s">
        <v>1111</v>
      </c>
      <c r="T95" t="s">
        <v>1112</v>
      </c>
      <c r="U95" s="149" t="s">
        <v>1113</v>
      </c>
    </row>
    <row r="96" spans="19:21" ht="15.75" thickBot="1">
      <c r="S96" s="147" t="s">
        <v>1114</v>
      </c>
      <c r="T96" t="s">
        <v>1115</v>
      </c>
      <c r="U96" s="149" t="s">
        <v>1116</v>
      </c>
    </row>
    <row r="97" spans="19:21" ht="15.75" thickBot="1">
      <c r="S97" s="147" t="s">
        <v>1117</v>
      </c>
      <c r="T97" t="s">
        <v>1118</v>
      </c>
      <c r="U97" s="149" t="s">
        <v>1119</v>
      </c>
    </row>
    <row r="98" spans="19:21" ht="15.75" thickBot="1">
      <c r="S98" s="147" t="s">
        <v>1120</v>
      </c>
      <c r="T98" t="s">
        <v>1121</v>
      </c>
      <c r="U98" s="149" t="s">
        <v>1122</v>
      </c>
    </row>
    <row r="99" spans="19:21" ht="15.75" thickBot="1">
      <c r="S99" s="147" t="s">
        <v>1123</v>
      </c>
      <c r="T99" t="s">
        <v>1124</v>
      </c>
      <c r="U99" s="149" t="s">
        <v>1125</v>
      </c>
    </row>
    <row r="100" spans="19:21" ht="15.75" thickBot="1">
      <c r="S100" s="147" t="s">
        <v>1126</v>
      </c>
      <c r="T100" t="s">
        <v>1127</v>
      </c>
      <c r="U100" s="149" t="s">
        <v>1128</v>
      </c>
    </row>
    <row r="101" spans="19:21" ht="15.75" thickBot="1">
      <c r="S101" s="147" t="s">
        <v>1129</v>
      </c>
      <c r="T101" t="s">
        <v>1130</v>
      </c>
      <c r="U101" s="149" t="s">
        <v>1131</v>
      </c>
    </row>
    <row r="102" spans="19:21" ht="15.75" thickBot="1">
      <c r="S102" s="147" t="s">
        <v>689</v>
      </c>
      <c r="T102" t="s">
        <v>690</v>
      </c>
      <c r="U102" s="149" t="s">
        <v>691</v>
      </c>
    </row>
    <row r="103" spans="19:21" ht="15.75" thickBot="1">
      <c r="S103" s="147" t="s">
        <v>1132</v>
      </c>
      <c r="T103" t="s">
        <v>1133</v>
      </c>
      <c r="U103" s="149" t="s">
        <v>1134</v>
      </c>
    </row>
    <row r="104" spans="19:21" ht="15.75" thickBot="1">
      <c r="S104" s="147" t="s">
        <v>1135</v>
      </c>
      <c r="T104" t="s">
        <v>1136</v>
      </c>
      <c r="U104" s="149" t="s">
        <v>1137</v>
      </c>
    </row>
    <row r="105" spans="19:21" ht="15.75" thickBot="1">
      <c r="S105" s="147" t="s">
        <v>1138</v>
      </c>
      <c r="T105" t="s">
        <v>1139</v>
      </c>
      <c r="U105" s="149" t="s">
        <v>1140</v>
      </c>
    </row>
    <row r="106" spans="19:21" ht="15.75" thickBot="1">
      <c r="S106" s="147" t="s">
        <v>1141</v>
      </c>
      <c r="T106" t="s">
        <v>1142</v>
      </c>
      <c r="U106" s="149" t="s">
        <v>1143</v>
      </c>
    </row>
    <row r="107" spans="19:21" ht="15.75" thickBot="1">
      <c r="S107" s="147" t="s">
        <v>1144</v>
      </c>
      <c r="T107" t="s">
        <v>1145</v>
      </c>
      <c r="U107" s="149" t="s">
        <v>1146</v>
      </c>
    </row>
    <row r="108" spans="19:21" ht="15.75" thickBot="1">
      <c r="S108" s="147" t="s">
        <v>700</v>
      </c>
      <c r="T108" t="s">
        <v>701</v>
      </c>
      <c r="U108" s="149" t="s">
        <v>702</v>
      </c>
    </row>
    <row r="109" spans="19:21" ht="15.75" thickBot="1">
      <c r="S109" s="147" t="s">
        <v>1147</v>
      </c>
      <c r="T109" t="s">
        <v>1148</v>
      </c>
      <c r="U109" s="149" t="s">
        <v>1149</v>
      </c>
    </row>
    <row r="110" spans="19:21" ht="15.75" thickBot="1">
      <c r="S110" s="147" t="s">
        <v>1150</v>
      </c>
      <c r="T110" t="s">
        <v>1151</v>
      </c>
      <c r="U110" s="149" t="s">
        <v>1152</v>
      </c>
    </row>
    <row r="111" spans="19:21" ht="15.75" thickBot="1">
      <c r="S111" s="147" t="s">
        <v>708</v>
      </c>
      <c r="T111" t="s">
        <v>709</v>
      </c>
      <c r="U111" s="149" t="s">
        <v>710</v>
      </c>
    </row>
    <row r="112" spans="19:21" ht="15.75" thickBot="1">
      <c r="S112" s="147" t="s">
        <v>1153</v>
      </c>
      <c r="T112" t="s">
        <v>1154</v>
      </c>
      <c r="U112" s="149" t="s">
        <v>1155</v>
      </c>
    </row>
    <row r="113" spans="19:21" ht="15.75" thickBot="1">
      <c r="S113" s="147" t="s">
        <v>1156</v>
      </c>
      <c r="T113" t="s">
        <v>1157</v>
      </c>
      <c r="U113" s="149" t="s">
        <v>1158</v>
      </c>
    </row>
    <row r="114" spans="19:21" ht="15.75" thickBot="1">
      <c r="S114" s="147" t="s">
        <v>1159</v>
      </c>
      <c r="T114" t="s">
        <v>1160</v>
      </c>
      <c r="U114" s="149" t="s">
        <v>1161</v>
      </c>
    </row>
    <row r="115" spans="19:21" ht="15.75" thickBot="1">
      <c r="S115" s="147" t="s">
        <v>1162</v>
      </c>
      <c r="T115" t="s">
        <v>1163</v>
      </c>
      <c r="U115" s="149" t="s">
        <v>1164</v>
      </c>
    </row>
    <row r="116" spans="19:21" ht="15.75" thickBot="1">
      <c r="S116" s="147" t="s">
        <v>1165</v>
      </c>
      <c r="T116" t="s">
        <v>1166</v>
      </c>
      <c r="U116" s="149" t="s">
        <v>1167</v>
      </c>
    </row>
    <row r="117" spans="19:21" ht="15.75" thickBot="1">
      <c r="S117" s="147" t="s">
        <v>1168</v>
      </c>
      <c r="T117" t="s">
        <v>1169</v>
      </c>
      <c r="U117" s="149" t="s">
        <v>1170</v>
      </c>
    </row>
    <row r="118" spans="19:21" ht="15.75" thickBot="1">
      <c r="S118" s="147" t="s">
        <v>1171</v>
      </c>
      <c r="T118" t="s">
        <v>1172</v>
      </c>
      <c r="U118" s="149" t="s">
        <v>1173</v>
      </c>
    </row>
    <row r="119" spans="19:21" ht="23.25" thickBot="1">
      <c r="S119" s="147" t="s">
        <v>1174</v>
      </c>
      <c r="T119" t="s">
        <v>1175</v>
      </c>
      <c r="U119" s="149" t="s">
        <v>1176</v>
      </c>
    </row>
    <row r="120" spans="19:21" ht="15.75" thickBot="1">
      <c r="S120" s="147" t="s">
        <v>1177</v>
      </c>
      <c r="T120" t="s">
        <v>1178</v>
      </c>
      <c r="U120" s="149" t="s">
        <v>1179</v>
      </c>
    </row>
    <row r="121" spans="19:21" ht="15.75" thickBot="1">
      <c r="S121" s="147" t="s">
        <v>1180</v>
      </c>
      <c r="T121" t="s">
        <v>1181</v>
      </c>
      <c r="U121" s="149" t="s">
        <v>1182</v>
      </c>
    </row>
    <row r="122" spans="19:21" ht="15.75" thickBot="1">
      <c r="S122" s="147" t="s">
        <v>1183</v>
      </c>
      <c r="T122" t="s">
        <v>1184</v>
      </c>
      <c r="U122" s="149" t="s">
        <v>1185</v>
      </c>
    </row>
    <row r="123" spans="19:21" ht="15.75" thickBot="1">
      <c r="S123" s="147" t="s">
        <v>1186</v>
      </c>
      <c r="T123" t="s">
        <v>1187</v>
      </c>
      <c r="U123" s="149" t="s">
        <v>1188</v>
      </c>
    </row>
    <row r="124" spans="19:21" ht="15.75" thickBot="1">
      <c r="S124" s="147" t="s">
        <v>719</v>
      </c>
      <c r="T124" t="s">
        <v>720</v>
      </c>
      <c r="U124" s="149" t="s">
        <v>721</v>
      </c>
    </row>
    <row r="125" spans="19:21" ht="15.75" thickBot="1">
      <c r="S125" s="147" t="s">
        <v>1189</v>
      </c>
      <c r="T125" t="s">
        <v>1190</v>
      </c>
      <c r="U125" s="149" t="s">
        <v>1191</v>
      </c>
    </row>
    <row r="126" spans="19:21" ht="15.75" thickBot="1">
      <c r="S126" s="147" t="s">
        <v>1192</v>
      </c>
      <c r="T126" t="s">
        <v>1193</v>
      </c>
      <c r="U126" s="149" t="s">
        <v>1194</v>
      </c>
    </row>
    <row r="127" spans="19:21" ht="15.75" thickBot="1">
      <c r="S127" s="147" t="s">
        <v>1195</v>
      </c>
      <c r="T127" t="s">
        <v>1196</v>
      </c>
      <c r="U127" s="149" t="s">
        <v>1197</v>
      </c>
    </row>
    <row r="128" spans="19:21" ht="15.75" thickBot="1">
      <c r="S128" s="147" t="s">
        <v>1198</v>
      </c>
      <c r="T128" t="s">
        <v>1199</v>
      </c>
      <c r="U128" s="149" t="s">
        <v>1200</v>
      </c>
    </row>
    <row r="129" spans="19:21" ht="15.75" thickBot="1">
      <c r="S129" s="147" t="s">
        <v>1201</v>
      </c>
      <c r="T129" t="s">
        <v>1202</v>
      </c>
      <c r="U129" s="149" t="s">
        <v>1203</v>
      </c>
    </row>
    <row r="130" spans="19:21" ht="15.75" thickBot="1">
      <c r="S130" s="147" t="s">
        <v>730</v>
      </c>
      <c r="T130" t="s">
        <v>731</v>
      </c>
      <c r="U130" s="149" t="s">
        <v>732</v>
      </c>
    </row>
    <row r="131" spans="19:21" ht="15.75" thickBot="1">
      <c r="S131" s="147" t="s">
        <v>741</v>
      </c>
      <c r="T131" t="s">
        <v>742</v>
      </c>
      <c r="U131" s="149" t="s">
        <v>743</v>
      </c>
    </row>
    <row r="132" spans="19:21" ht="15.75" thickBot="1">
      <c r="S132" s="147" t="s">
        <v>1204</v>
      </c>
      <c r="T132" t="s">
        <v>1205</v>
      </c>
      <c r="U132" s="149" t="s">
        <v>1206</v>
      </c>
    </row>
    <row r="133" spans="19:21" ht="15.75" thickBot="1">
      <c r="S133" s="147" t="s">
        <v>1207</v>
      </c>
      <c r="T133" t="s">
        <v>1208</v>
      </c>
      <c r="U133" s="149" t="s">
        <v>1209</v>
      </c>
    </row>
    <row r="134" spans="19:21" ht="15.75" thickBot="1">
      <c r="S134" s="147" t="s">
        <v>1210</v>
      </c>
      <c r="T134" t="s">
        <v>1211</v>
      </c>
      <c r="U134" s="149" t="s">
        <v>1212</v>
      </c>
    </row>
    <row r="135" spans="19:21" ht="15.75" thickBot="1">
      <c r="S135" s="147" t="s">
        <v>1213</v>
      </c>
      <c r="T135" t="s">
        <v>1214</v>
      </c>
      <c r="U135" s="149" t="s">
        <v>1215</v>
      </c>
    </row>
    <row r="136" spans="19:21" ht="15.75" thickBot="1">
      <c r="S136" s="147" t="s">
        <v>1216</v>
      </c>
      <c r="T136" t="s">
        <v>1217</v>
      </c>
      <c r="U136" s="149" t="s">
        <v>1218</v>
      </c>
    </row>
    <row r="137" spans="19:21" ht="15.75" thickBot="1">
      <c r="S137" s="147" t="s">
        <v>1219</v>
      </c>
      <c r="T137" t="s">
        <v>1220</v>
      </c>
      <c r="U137" s="149" t="s">
        <v>1221</v>
      </c>
    </row>
    <row r="138" spans="19:21" ht="15.75" thickBot="1">
      <c r="S138" s="147" t="s">
        <v>752</v>
      </c>
      <c r="T138" t="s">
        <v>753</v>
      </c>
      <c r="U138" s="149" t="s">
        <v>754</v>
      </c>
    </row>
    <row r="139" spans="19:21" ht="15.75" thickBot="1">
      <c r="S139" s="147" t="s">
        <v>1222</v>
      </c>
      <c r="T139" t="s">
        <v>1223</v>
      </c>
      <c r="U139" s="149" t="s">
        <v>1224</v>
      </c>
    </row>
    <row r="140" spans="19:21" ht="15.75" thickBot="1">
      <c r="S140" s="147" t="s">
        <v>1225</v>
      </c>
      <c r="T140" t="s">
        <v>1226</v>
      </c>
      <c r="U140" s="149" t="s">
        <v>1227</v>
      </c>
    </row>
    <row r="141" spans="19:21" ht="15.75" thickBot="1">
      <c r="S141" s="147" t="s">
        <v>1228</v>
      </c>
      <c r="T141" t="s">
        <v>1229</v>
      </c>
      <c r="U141" s="149" t="s">
        <v>1230</v>
      </c>
    </row>
    <row r="142" spans="19:21" ht="15.75" thickBot="1">
      <c r="S142" s="147" t="s">
        <v>1231</v>
      </c>
      <c r="T142" t="s">
        <v>1232</v>
      </c>
      <c r="U142" s="149" t="s">
        <v>1233</v>
      </c>
    </row>
    <row r="143" spans="19:21" ht="15.75" thickBot="1">
      <c r="S143" s="147" t="s">
        <v>1234</v>
      </c>
      <c r="T143" t="s">
        <v>1235</v>
      </c>
      <c r="U143" s="149" t="s">
        <v>1236</v>
      </c>
    </row>
    <row r="144" spans="19:21" ht="15.75" thickBot="1">
      <c r="S144" s="147" t="s">
        <v>1237</v>
      </c>
      <c r="T144" t="s">
        <v>1238</v>
      </c>
      <c r="U144" s="149" t="s">
        <v>1239</v>
      </c>
    </row>
    <row r="145" spans="19:21" ht="15.75" thickBot="1">
      <c r="S145" s="147" t="s">
        <v>1240</v>
      </c>
      <c r="T145" t="s">
        <v>1241</v>
      </c>
      <c r="U145" s="149" t="s">
        <v>1242</v>
      </c>
    </row>
    <row r="146" spans="19:21" ht="15.75" thickBot="1">
      <c r="S146" s="147" t="s">
        <v>1243</v>
      </c>
      <c r="T146" t="s">
        <v>1244</v>
      </c>
      <c r="U146" s="149" t="s">
        <v>1245</v>
      </c>
    </row>
    <row r="147" spans="19:21" ht="15.75" thickBot="1">
      <c r="S147" s="147" t="s">
        <v>1246</v>
      </c>
      <c r="T147" t="s">
        <v>1247</v>
      </c>
      <c r="U147" s="149" t="s">
        <v>1248</v>
      </c>
    </row>
    <row r="148" spans="19:21" ht="15.75" thickBot="1">
      <c r="S148" s="147" t="s">
        <v>1249</v>
      </c>
      <c r="T148" t="s">
        <v>1250</v>
      </c>
      <c r="U148" s="149" t="s">
        <v>1251</v>
      </c>
    </row>
    <row r="149" spans="19:21" ht="15.75" thickBot="1">
      <c r="S149" s="147" t="s">
        <v>1252</v>
      </c>
      <c r="T149" t="s">
        <v>1253</v>
      </c>
      <c r="U149" s="149" t="s">
        <v>1254</v>
      </c>
    </row>
    <row r="150" spans="19:21" ht="15.75" thickBot="1">
      <c r="S150" s="147" t="s">
        <v>1255</v>
      </c>
      <c r="T150" t="s">
        <v>1256</v>
      </c>
      <c r="U150" s="149" t="s">
        <v>1257</v>
      </c>
    </row>
    <row r="151" spans="19:21" ht="15.75" thickBot="1">
      <c r="S151" s="147" t="s">
        <v>1258</v>
      </c>
      <c r="T151" t="s">
        <v>1259</v>
      </c>
      <c r="U151" s="149" t="s">
        <v>1260</v>
      </c>
    </row>
    <row r="152" spans="19:21" ht="15.75" thickBot="1">
      <c r="S152" s="147" t="s">
        <v>1261</v>
      </c>
      <c r="T152" t="s">
        <v>1262</v>
      </c>
      <c r="U152" s="149" t="s">
        <v>1263</v>
      </c>
    </row>
    <row r="153" spans="19:21" ht="15.75" thickBot="1">
      <c r="S153" s="147" t="s">
        <v>1264</v>
      </c>
      <c r="T153" t="s">
        <v>1265</v>
      </c>
      <c r="U153" s="149" t="s">
        <v>1266</v>
      </c>
    </row>
    <row r="154" spans="19:21" ht="15.75" thickBot="1">
      <c r="S154" s="147" t="s">
        <v>1267</v>
      </c>
      <c r="T154" t="s">
        <v>1268</v>
      </c>
      <c r="U154" s="149" t="s">
        <v>1269</v>
      </c>
    </row>
    <row r="155" spans="19:21" ht="15.75" thickBot="1">
      <c r="S155" s="147" t="s">
        <v>1270</v>
      </c>
      <c r="T155" t="s">
        <v>1271</v>
      </c>
      <c r="U155" s="149" t="s">
        <v>1272</v>
      </c>
    </row>
    <row r="156" spans="19:21" ht="15.75" thickBot="1">
      <c r="S156" s="147" t="s">
        <v>1273</v>
      </c>
      <c r="T156" t="s">
        <v>1274</v>
      </c>
      <c r="U156" s="149" t="s">
        <v>1275</v>
      </c>
    </row>
    <row r="157" spans="19:21" ht="15.75" thickBot="1">
      <c r="S157" s="147" t="s">
        <v>763</v>
      </c>
      <c r="T157" t="s">
        <v>764</v>
      </c>
      <c r="U157" s="149" t="s">
        <v>765</v>
      </c>
    </row>
    <row r="158" spans="19:21" ht="15.75" thickBot="1">
      <c r="S158" s="147" t="s">
        <v>1276</v>
      </c>
      <c r="T158" t="s">
        <v>1277</v>
      </c>
      <c r="U158" s="149" t="s">
        <v>1278</v>
      </c>
    </row>
    <row r="159" spans="19:21" ht="15.75" thickBot="1">
      <c r="S159" s="147" t="s">
        <v>1279</v>
      </c>
      <c r="T159" t="s">
        <v>1280</v>
      </c>
      <c r="U159" s="149" t="s">
        <v>1281</v>
      </c>
    </row>
    <row r="160" spans="19:21" ht="15.75" thickBot="1">
      <c r="S160" s="147" t="s">
        <v>1282</v>
      </c>
      <c r="T160" t="s">
        <v>1283</v>
      </c>
      <c r="U160" s="149" t="s">
        <v>1284</v>
      </c>
    </row>
    <row r="161" spans="19:21" ht="15.75" thickBot="1">
      <c r="S161" s="147" t="s">
        <v>1285</v>
      </c>
      <c r="T161" t="s">
        <v>1286</v>
      </c>
      <c r="U161" s="149" t="s">
        <v>1287</v>
      </c>
    </row>
    <row r="162" spans="19:21" ht="15.75" thickBot="1">
      <c r="S162" s="147" t="s">
        <v>1288</v>
      </c>
      <c r="T162" t="s">
        <v>1289</v>
      </c>
      <c r="U162" s="149" t="s">
        <v>1290</v>
      </c>
    </row>
    <row r="163" spans="19:21" ht="15.75" thickBot="1">
      <c r="S163" s="147" t="s">
        <v>1291</v>
      </c>
      <c r="T163" t="s">
        <v>1292</v>
      </c>
      <c r="U163" s="149" t="s">
        <v>1293</v>
      </c>
    </row>
    <row r="164" spans="19:21" ht="15.75" thickBot="1">
      <c r="S164" s="147" t="s">
        <v>1294</v>
      </c>
      <c r="T164" t="s">
        <v>1295</v>
      </c>
      <c r="U164" s="149" t="s">
        <v>1296</v>
      </c>
    </row>
    <row r="165" spans="19:21" ht="15.75" thickBot="1">
      <c r="S165" s="147" t="s">
        <v>1297</v>
      </c>
      <c r="T165" t="s">
        <v>1298</v>
      </c>
      <c r="U165" s="149" t="s">
        <v>1299</v>
      </c>
    </row>
    <row r="166" spans="19:21" ht="15.75" thickBot="1">
      <c r="S166" s="147" t="s">
        <v>1300</v>
      </c>
      <c r="T166" t="s">
        <v>1301</v>
      </c>
      <c r="U166" s="149" t="s">
        <v>1302</v>
      </c>
    </row>
    <row r="167" spans="19:21" ht="15.75" thickBot="1">
      <c r="S167" s="147" t="s">
        <v>1303</v>
      </c>
      <c r="T167" t="s">
        <v>1304</v>
      </c>
      <c r="U167" s="149" t="s">
        <v>1305</v>
      </c>
    </row>
    <row r="168" spans="19:21" ht="15.75" thickBot="1">
      <c r="S168" s="147" t="s">
        <v>1306</v>
      </c>
      <c r="T168" t="s">
        <v>1307</v>
      </c>
      <c r="U168" s="149" t="s">
        <v>1308</v>
      </c>
    </row>
    <row r="169" spans="19:21" ht="15.75" thickBot="1">
      <c r="S169" s="147" t="s">
        <v>1309</v>
      </c>
      <c r="T169" t="s">
        <v>1310</v>
      </c>
      <c r="U169" s="149" t="s">
        <v>1311</v>
      </c>
    </row>
    <row r="170" spans="19:21" ht="15.75" thickBot="1">
      <c r="S170" s="147" t="s">
        <v>1312</v>
      </c>
      <c r="T170" t="s">
        <v>1313</v>
      </c>
      <c r="U170" s="149" t="s">
        <v>1314</v>
      </c>
    </row>
    <row r="171" spans="19:21" ht="15.75" thickBot="1">
      <c r="S171" s="147" t="s">
        <v>1315</v>
      </c>
      <c r="T171" t="s">
        <v>1316</v>
      </c>
      <c r="U171" s="149" t="s">
        <v>1317</v>
      </c>
    </row>
    <row r="172" spans="19:21" ht="15.75" thickBot="1">
      <c r="S172" s="147" t="s">
        <v>1318</v>
      </c>
      <c r="T172" t="s">
        <v>1319</v>
      </c>
      <c r="U172" s="149" t="s">
        <v>1320</v>
      </c>
    </row>
    <row r="173" spans="19:21" ht="15.75" thickBot="1">
      <c r="S173" s="147" t="s">
        <v>1321</v>
      </c>
      <c r="T173" t="s">
        <v>1322</v>
      </c>
      <c r="U173" s="149" t="s">
        <v>1323</v>
      </c>
    </row>
    <row r="174" spans="19:21" ht="15.75" thickBot="1">
      <c r="S174" s="147" t="s">
        <v>1324</v>
      </c>
      <c r="T174" t="s">
        <v>1325</v>
      </c>
      <c r="U174" s="149" t="s">
        <v>1326</v>
      </c>
    </row>
    <row r="175" spans="19:21" ht="15.75" thickBot="1">
      <c r="S175" s="147" t="s">
        <v>1327</v>
      </c>
      <c r="T175" t="s">
        <v>1328</v>
      </c>
      <c r="U175" s="149" t="s">
        <v>1329</v>
      </c>
    </row>
    <row r="176" spans="19:21" ht="15.75" thickBot="1">
      <c r="S176" s="147" t="s">
        <v>1330</v>
      </c>
      <c r="T176" t="s">
        <v>1331</v>
      </c>
      <c r="U176" s="149" t="s">
        <v>1332</v>
      </c>
    </row>
    <row r="177" spans="19:21" ht="15.75" thickBot="1">
      <c r="S177" s="147" t="s">
        <v>775</v>
      </c>
      <c r="T177" t="s">
        <v>776</v>
      </c>
      <c r="U177" s="149" t="s">
        <v>777</v>
      </c>
    </row>
    <row r="178" spans="19:21" ht="15.75" thickBot="1">
      <c r="S178" s="147" t="s">
        <v>783</v>
      </c>
      <c r="T178" t="s">
        <v>784</v>
      </c>
      <c r="U178" s="149" t="s">
        <v>785</v>
      </c>
    </row>
    <row r="179" spans="19:21" ht="15.75" thickBot="1">
      <c r="S179" s="147" t="s">
        <v>1333</v>
      </c>
      <c r="T179" t="s">
        <v>1334</v>
      </c>
      <c r="U179" s="149" t="s">
        <v>1335</v>
      </c>
    </row>
    <row r="180" spans="19:21" ht="15.75" thickBot="1">
      <c r="S180" s="147" t="s">
        <v>1336</v>
      </c>
      <c r="T180" t="s">
        <v>1337</v>
      </c>
      <c r="U180" s="149" t="s">
        <v>1338</v>
      </c>
    </row>
    <row r="181" spans="19:21" ht="15.75" thickBot="1">
      <c r="S181" s="147" t="s">
        <v>1339</v>
      </c>
      <c r="T181" t="s">
        <v>1340</v>
      </c>
      <c r="U181" s="149" t="s">
        <v>1341</v>
      </c>
    </row>
    <row r="182" spans="19:21" ht="15.75" thickBot="1">
      <c r="S182" s="147" t="s">
        <v>795</v>
      </c>
      <c r="T182" t="s">
        <v>796</v>
      </c>
      <c r="U182" s="149" t="s">
        <v>797</v>
      </c>
    </row>
    <row r="183" spans="19:21" ht="15.75" thickBot="1">
      <c r="S183" s="147" t="s">
        <v>1342</v>
      </c>
      <c r="T183" t="s">
        <v>1343</v>
      </c>
      <c r="U183" s="149" t="s">
        <v>1344</v>
      </c>
    </row>
    <row r="184" spans="19:21" ht="15.75" thickBot="1">
      <c r="S184" s="147" t="s">
        <v>1345</v>
      </c>
      <c r="T184" t="s">
        <v>1346</v>
      </c>
      <c r="U184" s="149" t="s">
        <v>1347</v>
      </c>
    </row>
    <row r="185" spans="19:21" ht="15.75" thickBot="1">
      <c r="S185" s="147" t="s">
        <v>1348</v>
      </c>
      <c r="T185" t="s">
        <v>1349</v>
      </c>
      <c r="U185" s="149" t="s">
        <v>1350</v>
      </c>
    </row>
    <row r="186" spans="19:21" ht="15.75" thickBot="1">
      <c r="S186" s="147" t="s">
        <v>1351</v>
      </c>
      <c r="T186" t="s">
        <v>1352</v>
      </c>
      <c r="U186" s="149" t="s">
        <v>1353</v>
      </c>
    </row>
    <row r="187" spans="19:21" ht="23.25" thickBot="1">
      <c r="S187" s="147" t="s">
        <v>1354</v>
      </c>
      <c r="T187" t="s">
        <v>1355</v>
      </c>
      <c r="U187" s="149" t="s">
        <v>1356</v>
      </c>
    </row>
    <row r="188" spans="19:21" ht="15.75" thickBot="1">
      <c r="S188" s="147" t="s">
        <v>1357</v>
      </c>
      <c r="T188" t="s">
        <v>1358</v>
      </c>
      <c r="U188" s="149" t="s">
        <v>1359</v>
      </c>
    </row>
    <row r="189" spans="19:21" ht="15.75" thickBot="1">
      <c r="S189" s="147" t="s">
        <v>1360</v>
      </c>
      <c r="T189" t="s">
        <v>1361</v>
      </c>
      <c r="U189" s="149" t="s">
        <v>1362</v>
      </c>
    </row>
    <row r="190" spans="19:21" ht="15.75" thickBot="1">
      <c r="S190" s="147" t="s">
        <v>1363</v>
      </c>
      <c r="T190" t="s">
        <v>1364</v>
      </c>
      <c r="U190" s="149" t="s">
        <v>1365</v>
      </c>
    </row>
    <row r="191" spans="19:21" ht="15.75" thickBot="1">
      <c r="S191" s="147" t="s">
        <v>1366</v>
      </c>
      <c r="T191" t="s">
        <v>1367</v>
      </c>
      <c r="U191" s="149" t="s">
        <v>1368</v>
      </c>
    </row>
    <row r="192" spans="19:21" ht="15.75" thickBot="1">
      <c r="S192" s="147" t="s">
        <v>1369</v>
      </c>
      <c r="T192" t="s">
        <v>1370</v>
      </c>
      <c r="U192" s="149" t="s">
        <v>1371</v>
      </c>
    </row>
    <row r="193" spans="19:21" ht="15.75" thickBot="1">
      <c r="S193" s="147" t="s">
        <v>1372</v>
      </c>
      <c r="T193" t="s">
        <v>1373</v>
      </c>
      <c r="U193" s="149" t="s">
        <v>1374</v>
      </c>
    </row>
    <row r="194" spans="19:21" ht="15.75" thickBot="1">
      <c r="S194" s="147" t="s">
        <v>1375</v>
      </c>
      <c r="T194" t="s">
        <v>1376</v>
      </c>
      <c r="U194" s="149" t="s">
        <v>1377</v>
      </c>
    </row>
    <row r="195" spans="19:21" ht="15.75" thickBot="1">
      <c r="S195" s="147" t="s">
        <v>1378</v>
      </c>
      <c r="T195" t="s">
        <v>1379</v>
      </c>
      <c r="U195" s="149" t="s">
        <v>1380</v>
      </c>
    </row>
    <row r="196" spans="19:21" ht="15.75" thickBot="1">
      <c r="S196" s="147" t="s">
        <v>1381</v>
      </c>
      <c r="T196" t="s">
        <v>1382</v>
      </c>
      <c r="U196" s="149" t="s">
        <v>1383</v>
      </c>
    </row>
    <row r="197" spans="19:21" ht="15.75" thickBot="1">
      <c r="S197" s="147" t="s">
        <v>1384</v>
      </c>
      <c r="T197" t="s">
        <v>1385</v>
      </c>
      <c r="U197" s="149" t="s">
        <v>1386</v>
      </c>
    </row>
    <row r="198" spans="19:21" ht="15.75" thickBot="1">
      <c r="S198" s="147" t="s">
        <v>1387</v>
      </c>
      <c r="T198" t="s">
        <v>1388</v>
      </c>
      <c r="U198" s="149" t="s">
        <v>1389</v>
      </c>
    </row>
    <row r="199" spans="19:21" ht="15.75" thickBot="1">
      <c r="S199" s="147" t="s">
        <v>1390</v>
      </c>
      <c r="T199" t="s">
        <v>1391</v>
      </c>
      <c r="U199" s="149" t="s">
        <v>1392</v>
      </c>
    </row>
    <row r="200" spans="19:21" ht="15.75" thickBot="1">
      <c r="S200" s="147" t="s">
        <v>1393</v>
      </c>
      <c r="T200" t="s">
        <v>1394</v>
      </c>
      <c r="U200" s="149" t="s">
        <v>1395</v>
      </c>
    </row>
    <row r="201" spans="19:21" ht="15.75" thickBot="1">
      <c r="S201" s="147" t="s">
        <v>1396</v>
      </c>
      <c r="T201" t="s">
        <v>1397</v>
      </c>
      <c r="U201" s="149" t="s">
        <v>1398</v>
      </c>
    </row>
    <row r="202" spans="19:21" ht="15.75" thickBot="1">
      <c r="S202" s="147" t="s">
        <v>1399</v>
      </c>
      <c r="T202" t="s">
        <v>1400</v>
      </c>
      <c r="U202" s="149" t="s">
        <v>1401</v>
      </c>
    </row>
    <row r="203" spans="19:21" ht="15.75" thickBot="1">
      <c r="S203" s="147" t="s">
        <v>806</v>
      </c>
      <c r="T203" t="s">
        <v>807</v>
      </c>
      <c r="U203" s="149" t="s">
        <v>808</v>
      </c>
    </row>
    <row r="204" spans="19:21" ht="15.75" thickBot="1">
      <c r="S204" s="147" t="s">
        <v>817</v>
      </c>
      <c r="T204" t="s">
        <v>818</v>
      </c>
      <c r="U204" s="149" t="s">
        <v>819</v>
      </c>
    </row>
    <row r="205" spans="19:21" ht="15.75" thickBot="1">
      <c r="S205" s="147" t="s">
        <v>1402</v>
      </c>
      <c r="T205" t="s">
        <v>1403</v>
      </c>
      <c r="U205" s="149" t="s">
        <v>1404</v>
      </c>
    </row>
    <row r="206" spans="19:21" ht="15.75" thickBot="1">
      <c r="S206" s="147" t="s">
        <v>1405</v>
      </c>
      <c r="T206" t="s">
        <v>1406</v>
      </c>
      <c r="U206" s="149" t="s">
        <v>1407</v>
      </c>
    </row>
    <row r="207" spans="19:21" ht="15.75" thickBot="1">
      <c r="S207" s="147" t="s">
        <v>1408</v>
      </c>
      <c r="T207" t="s">
        <v>1409</v>
      </c>
      <c r="U207" s="149" t="s">
        <v>1410</v>
      </c>
    </row>
    <row r="208" spans="19:21" ht="23.25" thickBot="1">
      <c r="S208" s="147" t="s">
        <v>1411</v>
      </c>
      <c r="T208" t="s">
        <v>1412</v>
      </c>
      <c r="U208" s="149" t="s">
        <v>1413</v>
      </c>
    </row>
    <row r="209" spans="19:21" ht="15.75" thickBot="1">
      <c r="S209" s="147" t="s">
        <v>1414</v>
      </c>
      <c r="T209" t="s">
        <v>1415</v>
      </c>
      <c r="U209" s="149" t="s">
        <v>1416</v>
      </c>
    </row>
    <row r="210" spans="19:21" ht="15.75" thickBot="1">
      <c r="S210" s="147" t="s">
        <v>828</v>
      </c>
      <c r="T210" t="s">
        <v>794</v>
      </c>
      <c r="U210" s="149" t="s">
        <v>829</v>
      </c>
    </row>
    <row r="211" spans="19:21" ht="15.75" thickBot="1">
      <c r="S211" s="147" t="s">
        <v>1417</v>
      </c>
      <c r="T211" t="s">
        <v>1418</v>
      </c>
      <c r="U211" s="149" t="s">
        <v>1419</v>
      </c>
    </row>
    <row r="212" spans="19:21" ht="15.75" thickBot="1">
      <c r="S212" s="147" t="s">
        <v>1420</v>
      </c>
      <c r="T212" t="s">
        <v>1421</v>
      </c>
      <c r="U212" s="149" t="s">
        <v>1422</v>
      </c>
    </row>
    <row r="213" spans="19:21" ht="15.75" thickBot="1">
      <c r="S213" s="147" t="s">
        <v>1423</v>
      </c>
      <c r="T213" t="s">
        <v>1424</v>
      </c>
      <c r="U213" s="149" t="s">
        <v>1425</v>
      </c>
    </row>
    <row r="214" spans="19:21" ht="15.75" thickBot="1">
      <c r="S214" s="147" t="s">
        <v>1426</v>
      </c>
      <c r="T214" t="s">
        <v>1427</v>
      </c>
      <c r="U214" s="149" t="s">
        <v>1428</v>
      </c>
    </row>
    <row r="215" spans="19:21" ht="15.75" thickBot="1">
      <c r="S215" s="147" t="s">
        <v>838</v>
      </c>
      <c r="T215" t="s">
        <v>839</v>
      </c>
      <c r="U215" s="149" t="s">
        <v>840</v>
      </c>
    </row>
    <row r="216" spans="19:21" ht="15.75" thickBot="1">
      <c r="S216" s="147" t="s">
        <v>1429</v>
      </c>
      <c r="T216" t="s">
        <v>1430</v>
      </c>
      <c r="U216" s="149" t="s">
        <v>1431</v>
      </c>
    </row>
    <row r="217" spans="19:21" ht="15.75" thickBot="1">
      <c r="S217" s="147" t="s">
        <v>1432</v>
      </c>
      <c r="T217" t="s">
        <v>1433</v>
      </c>
      <c r="U217" s="149" t="s">
        <v>1434</v>
      </c>
    </row>
    <row r="218" spans="19:21" ht="15.75" thickBot="1">
      <c r="S218" s="147" t="s">
        <v>1435</v>
      </c>
      <c r="T218" t="s">
        <v>1436</v>
      </c>
      <c r="U218" s="149" t="s">
        <v>1437</v>
      </c>
    </row>
    <row r="219" spans="19:21" ht="15.75" thickBot="1">
      <c r="S219" s="147" t="s">
        <v>1438</v>
      </c>
      <c r="T219" t="s">
        <v>1439</v>
      </c>
      <c r="U219" s="149" t="s">
        <v>1440</v>
      </c>
    </row>
    <row r="220" spans="19:21" ht="15.75" thickBot="1">
      <c r="S220" s="147" t="s">
        <v>1441</v>
      </c>
      <c r="T220" t="s">
        <v>1442</v>
      </c>
      <c r="U220" s="149" t="s">
        <v>1443</v>
      </c>
    </row>
    <row r="221" spans="19:21" ht="15.75" thickBot="1">
      <c r="S221" s="147" t="s">
        <v>1444</v>
      </c>
      <c r="T221" t="s">
        <v>1445</v>
      </c>
      <c r="U221" s="149" t="s">
        <v>1446</v>
      </c>
    </row>
    <row r="222" spans="19:21" ht="15.75" thickBot="1">
      <c r="S222" s="147" t="s">
        <v>1447</v>
      </c>
      <c r="T222" t="s">
        <v>1448</v>
      </c>
      <c r="U222" s="149" t="s">
        <v>1449</v>
      </c>
    </row>
    <row r="223" spans="19:21" ht="15.75" thickBot="1">
      <c r="S223" s="147" t="s">
        <v>1450</v>
      </c>
      <c r="T223" t="s">
        <v>1451</v>
      </c>
      <c r="U223" s="149" t="s">
        <v>1452</v>
      </c>
    </row>
    <row r="224" spans="19:21" ht="15.75" thickBot="1">
      <c r="S224" s="147" t="s">
        <v>1453</v>
      </c>
      <c r="T224" t="s">
        <v>1454</v>
      </c>
      <c r="U224" s="149" t="s">
        <v>1455</v>
      </c>
    </row>
    <row r="225" spans="19:21" ht="15.75" thickBot="1">
      <c r="S225" s="147" t="s">
        <v>1456</v>
      </c>
      <c r="T225" t="s">
        <v>1457</v>
      </c>
      <c r="U225" s="149" t="s">
        <v>1458</v>
      </c>
    </row>
    <row r="226" spans="19:21" ht="15.75" thickBot="1">
      <c r="S226" s="147" t="s">
        <v>1459</v>
      </c>
      <c r="T226" t="s">
        <v>1460</v>
      </c>
      <c r="U226" s="149" t="s">
        <v>1461</v>
      </c>
    </row>
    <row r="227" spans="19:21" ht="15.75" thickBot="1">
      <c r="S227" s="147" t="s">
        <v>1462</v>
      </c>
      <c r="T227" t="s">
        <v>1463</v>
      </c>
      <c r="U227" s="149" t="s">
        <v>1464</v>
      </c>
    </row>
    <row r="228" spans="19:21" ht="15.75" thickBot="1">
      <c r="S228" s="147" t="s">
        <v>1465</v>
      </c>
      <c r="T228" t="s">
        <v>1466</v>
      </c>
      <c r="U228" s="149" t="s">
        <v>1467</v>
      </c>
    </row>
    <row r="229" spans="19:21" ht="15.75" thickBot="1">
      <c r="S229" s="147" t="s">
        <v>1468</v>
      </c>
      <c r="T229" t="s">
        <v>1469</v>
      </c>
      <c r="U229" s="149" t="s">
        <v>1470</v>
      </c>
    </row>
    <row r="230" spans="19:21" ht="15.75" thickBot="1">
      <c r="S230" s="147" t="s">
        <v>1471</v>
      </c>
      <c r="T230" t="s">
        <v>1472</v>
      </c>
      <c r="U230" s="149" t="s">
        <v>1473</v>
      </c>
    </row>
    <row r="231" spans="19:21" ht="15.75" thickBot="1">
      <c r="S231" s="147" t="s">
        <v>1474</v>
      </c>
      <c r="T231" t="s">
        <v>1475</v>
      </c>
      <c r="U231" s="149" t="s">
        <v>1476</v>
      </c>
    </row>
    <row r="232" spans="19:21" ht="15.75" thickBot="1">
      <c r="S232" s="147" t="s">
        <v>1477</v>
      </c>
      <c r="T232" t="s">
        <v>1478</v>
      </c>
      <c r="U232" s="149" t="s">
        <v>1479</v>
      </c>
    </row>
    <row r="233" spans="19:21" ht="15.75" thickBot="1">
      <c r="S233" s="147" t="s">
        <v>1480</v>
      </c>
      <c r="T233" t="s">
        <v>1481</v>
      </c>
      <c r="U233" s="149" t="s">
        <v>1482</v>
      </c>
    </row>
    <row r="234" spans="19:21" ht="15.75" thickBot="1">
      <c r="S234" s="147" t="s">
        <v>1483</v>
      </c>
      <c r="T234" t="s">
        <v>1484</v>
      </c>
      <c r="U234" s="149" t="s">
        <v>1485</v>
      </c>
    </row>
    <row r="235" spans="19:21" ht="23.25" thickBot="1">
      <c r="S235" s="147" t="s">
        <v>1486</v>
      </c>
      <c r="T235" t="s">
        <v>1487</v>
      </c>
      <c r="U235" s="149" t="s">
        <v>1488</v>
      </c>
    </row>
    <row r="236" spans="19:21" ht="15.75" thickBot="1">
      <c r="S236" s="147" t="s">
        <v>1489</v>
      </c>
      <c r="T236" t="s">
        <v>1490</v>
      </c>
      <c r="U236" s="149" t="s">
        <v>1491</v>
      </c>
    </row>
    <row r="237" spans="19:21" ht="15.75" thickBot="1">
      <c r="S237" s="147" t="s">
        <v>1492</v>
      </c>
      <c r="T237" t="s">
        <v>1493</v>
      </c>
      <c r="U237" s="149" t="s">
        <v>1494</v>
      </c>
    </row>
    <row r="238" spans="19:21" ht="15.75" thickBot="1">
      <c r="S238" s="147" t="s">
        <v>1495</v>
      </c>
      <c r="T238" t="s">
        <v>1496</v>
      </c>
      <c r="U238" s="149" t="s">
        <v>1497</v>
      </c>
    </row>
    <row r="239" spans="19:21" ht="15.75" thickBot="1">
      <c r="S239" s="147" t="s">
        <v>1498</v>
      </c>
      <c r="T239" t="s">
        <v>1499</v>
      </c>
      <c r="U239" s="149" t="s">
        <v>1500</v>
      </c>
    </row>
    <row r="240" spans="19:21" ht="15.75" thickBot="1">
      <c r="S240" s="147" t="s">
        <v>1501</v>
      </c>
      <c r="T240" t="s">
        <v>1502</v>
      </c>
      <c r="U240" s="149" t="s">
        <v>1503</v>
      </c>
    </row>
    <row r="241" spans="19:21" ht="15.75" thickBot="1">
      <c r="S241" s="147" t="s">
        <v>1504</v>
      </c>
      <c r="T241" t="s">
        <v>1505</v>
      </c>
      <c r="U241" s="149" t="s">
        <v>1506</v>
      </c>
    </row>
    <row r="242" spans="19:21" ht="15.75" thickBot="1">
      <c r="S242" s="147" t="s">
        <v>1507</v>
      </c>
      <c r="T242" t="s">
        <v>1508</v>
      </c>
      <c r="U242" s="149" t="s">
        <v>1509</v>
      </c>
    </row>
    <row r="243" spans="19:21" ht="15.75" thickBot="1">
      <c r="S243" s="147" t="s">
        <v>1510</v>
      </c>
      <c r="T243" t="s">
        <v>1511</v>
      </c>
      <c r="U243" s="149" t="s">
        <v>1512</v>
      </c>
    </row>
    <row r="244" spans="19:21" ht="15.75" thickBot="1">
      <c r="S244" s="147" t="s">
        <v>1513</v>
      </c>
      <c r="T244" t="s">
        <v>1514</v>
      </c>
      <c r="U244" s="149" t="s">
        <v>1515</v>
      </c>
    </row>
    <row r="245" spans="19:21" ht="15.75" thickBot="1">
      <c r="S245" s="147" t="s">
        <v>1516</v>
      </c>
      <c r="T245" t="s">
        <v>1517</v>
      </c>
      <c r="U245" s="149" t="s">
        <v>1518</v>
      </c>
    </row>
    <row r="246" spans="19:21" ht="15.75" thickBot="1">
      <c r="S246" s="147" t="s">
        <v>1519</v>
      </c>
      <c r="T246" t="s">
        <v>1520</v>
      </c>
      <c r="U246" s="149" t="s">
        <v>1521</v>
      </c>
    </row>
    <row r="247" spans="19:21" ht="15.75" thickBot="1">
      <c r="S247" s="147" t="s">
        <v>1522</v>
      </c>
      <c r="T247" t="s">
        <v>1523</v>
      </c>
      <c r="U247" s="149" t="s">
        <v>1524</v>
      </c>
    </row>
    <row r="248" spans="19:21" ht="15.75" thickBot="1">
      <c r="S248" s="147" t="s">
        <v>1525</v>
      </c>
      <c r="T248" t="s">
        <v>1526</v>
      </c>
      <c r="U248" s="149" t="s">
        <v>1527</v>
      </c>
    </row>
    <row r="249" spans="19:21" ht="15.75" thickBot="1">
      <c r="S249" s="147" t="s">
        <v>1528</v>
      </c>
      <c r="T249" t="s">
        <v>1529</v>
      </c>
      <c r="U249" s="149" t="s">
        <v>1530</v>
      </c>
    </row>
    <row r="250" spans="19:21" ht="15.75" thickBot="1">
      <c r="S250" s="147" t="s">
        <v>1531</v>
      </c>
      <c r="T250" t="s">
        <v>1532</v>
      </c>
      <c r="U250" s="149" t="s">
        <v>1533</v>
      </c>
    </row>
  </sheetData>
  <sheetProtection algorithmName="SHA-512" hashValue="6BslijgwoksdraUd6ozHzZZMn1lM4p6m4zZB42D971/A383LLjBT3VuiB4TjgD4HxW+N7aZK6UwrzDGVvANgaA==" saltValue="sE0ATTiS81MBwspdbqL9Zg==" spinCount="100000" sheet="1" objects="1" scenarios="1"/>
  <autoFilter ref="A1:E60" xr:uid="{F85C06A6-55DB-4EA6-A066-A87F1DA88A7A}"/>
  <phoneticPr fontId="4" type="noConversion"/>
  <pageMargins left="0.7" right="0.7" top="0.75" bottom="0.75" header="0.3" footer="0.3"/>
  <pageSetup orientation="portrait" horizontalDpi="1200" verticalDpi="1200" r:id="rId1"/>
  <headerFooter>
    <oddHeader>&amp;L&amp;"Aptos"&amp;12&amp;K000000 EBA Regular Use&amp;1#_x000D_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9665F-1BB8-470F-8473-9AB8F96C1420}">
  <sheetPr codeName="Sheet16">
    <tabColor theme="1"/>
  </sheetPr>
  <dimension ref="A1:T288"/>
  <sheetViews>
    <sheetView topLeftCell="A205" workbookViewId="0">
      <selection activeCell="D228" sqref="D228"/>
    </sheetView>
  </sheetViews>
  <sheetFormatPr defaultColWidth="46.5703125" defaultRowHeight="15" customHeight="1"/>
  <cols>
    <col min="1" max="1" width="13.5703125" style="154" customWidth="1"/>
    <col min="2" max="2" width="12.5703125" style="154" customWidth="1"/>
    <col min="3" max="3" width="13" customWidth="1"/>
    <col min="4" max="4" width="30.85546875" style="154" customWidth="1"/>
    <col min="5" max="5" width="42.140625" style="155" customWidth="1"/>
    <col min="6" max="6" width="31.5703125" style="154" customWidth="1"/>
    <col min="7" max="7" width="25.140625" style="154" customWidth="1"/>
    <col min="8" max="9" width="13.42578125" style="154" customWidth="1"/>
  </cols>
  <sheetData>
    <row r="1" spans="1:20" s="152" customFormat="1" ht="15" customHeight="1">
      <c r="A1" s="151" t="s">
        <v>1534</v>
      </c>
      <c r="B1" s="151" t="s">
        <v>1535</v>
      </c>
      <c r="C1" s="152" t="s">
        <v>1536</v>
      </c>
      <c r="D1" s="151" t="s">
        <v>4</v>
      </c>
      <c r="E1" s="153" t="s">
        <v>1537</v>
      </c>
      <c r="F1" s="151" t="s">
        <v>1538</v>
      </c>
      <c r="G1" s="154" t="s">
        <v>1539</v>
      </c>
      <c r="H1" s="151" t="s">
        <v>1540</v>
      </c>
      <c r="I1" s="151" t="s">
        <v>1541</v>
      </c>
      <c r="J1" t="s">
        <v>1542</v>
      </c>
      <c r="K1" t="s">
        <v>1543</v>
      </c>
      <c r="L1" t="s">
        <v>1544</v>
      </c>
      <c r="M1" t="s">
        <v>1545</v>
      </c>
      <c r="N1" t="s">
        <v>1546</v>
      </c>
      <c r="O1" t="s">
        <v>1547</v>
      </c>
      <c r="P1" t="s">
        <v>1548</v>
      </c>
      <c r="Q1"/>
      <c r="R1"/>
      <c r="S1"/>
      <c r="T1"/>
    </row>
    <row r="2" spans="1:20" ht="15" customHeight="1">
      <c r="A2" s="154" t="s">
        <v>44</v>
      </c>
      <c r="E2" s="155" cm="1">
        <f t="array" aca="1" ref="E2" ca="1">IF(C2="", INDIRECT("'"&amp;A2&amp;"'!B3"), INDEX(INDIRECT("'"&amp;A2&amp;"'!5:5"), COLUMN(INDIRECT("'"&amp;A2&amp;"'!"&amp;C2))))</f>
        <v>0</v>
      </c>
      <c r="F2" s="155" t="str" cm="1">
        <f t="array" aca="1" ref="F2" ca="1">IF(C2="", "", INDEX(INDIRECT("'"&amp;A2&amp;"'!3:3"), COLUMN(INDIRECT("'"&amp;A2&amp;"'!"&amp;C2))))</f>
        <v/>
      </c>
      <c r="G2" s="154" t="str" cm="1">
        <f t="array" aca="1" ref="G2" ca="1">IF(C2="", "", INDEX(INDIRECT("'"&amp;A2&amp;"'!8:8"), COLUMN(INDIRECT("'"&amp;A2&amp;"'!"&amp;C2))))</f>
        <v/>
      </c>
      <c r="H2" s="154" t="str" cm="1">
        <f t="array" aca="1" ref="H2" ca="1">IF(C2="","",T(INDIRECT("'"&amp;A2&amp;"'!"&amp;ADDRESS(7, COLUMN(INDIRECT("'"&amp;A2&amp;"'!"&amp;C2))))))</f>
        <v/>
      </c>
      <c r="I2" s="154" t="str" cm="1">
        <f t="array" aca="1" ref="I2" ca="1">IF(C2="","",T(INDIRECT("'"&amp;A2&amp;"'!"&amp;ADDRESS(9, COLUMN(INDIRECT("'"&amp;A2&amp;"'!"&amp;C2))))))</f>
        <v/>
      </c>
    </row>
    <row r="3" spans="1:20" ht="15" customHeight="1">
      <c r="A3" s="154" t="s">
        <v>44</v>
      </c>
      <c r="B3" s="154" t="s">
        <v>81</v>
      </c>
      <c r="C3" t="s">
        <v>1549</v>
      </c>
      <c r="D3" s="154" t="s">
        <v>47</v>
      </c>
      <c r="E3" s="155" t="str" cm="1">
        <f t="array" aca="1" ref="E3" ca="1">IF(C3="", INDIRECT("'"&amp;A3&amp;"'!B3"), INDEX(INDIRECT("'"&amp;A3&amp;"'!5:5"), COLUMN(INDIRECT("'"&amp;A3&amp;"'!"&amp;C3))))</f>
        <v>Legal Entity Identifier (LEI)</v>
      </c>
      <c r="F3" s="155" cm="1">
        <f t="array" aca="1" ref="F3" ca="1">IF(C3="", "", INDEX(INDIRECT("'"&amp;A3&amp;"'!3:3"), COLUMN(INDIRECT("'"&amp;A3&amp;"'!"&amp;C3))))</f>
        <v>0</v>
      </c>
      <c r="G3" s="154" t="str" cm="1">
        <f t="array" aca="1" ref="G3" ca="1">IF(C3="", "", INDEX(INDIRECT("'"&amp;A3&amp;"'!8:8"), COLUMN(INDIRECT("'"&amp;A3&amp;"'!"&amp;C3))))</f>
        <v>Alphanumerical</v>
      </c>
      <c r="H3" s="154" t="str" cm="1">
        <f t="array" aca="1" ref="H3" ca="1">IF(C3="","",T(INDIRECT("'"&amp;A3&amp;"'!"&amp;ADDRESS(7, COLUMN(INDIRECT("'"&amp;A3&amp;"'!"&amp;C3))))))</f>
        <v/>
      </c>
      <c r="I3" s="154" t="str" cm="1">
        <f t="array" aca="1" ref="I3" ca="1">IF(C3="","",T(INDIRECT("'"&amp;A3&amp;"'!"&amp;ADDRESS(9, COLUMN(INDIRECT("'"&amp;A3&amp;"'!"&amp;C3))))))</f>
        <v/>
      </c>
    </row>
    <row r="4" spans="1:20" ht="15" customHeight="1">
      <c r="A4" s="154" t="s">
        <v>44</v>
      </c>
      <c r="B4" s="154" t="s">
        <v>82</v>
      </c>
      <c r="C4" t="s">
        <v>1550</v>
      </c>
      <c r="D4" s="154" t="s">
        <v>47</v>
      </c>
      <c r="E4" s="155" t="str" cm="1">
        <f t="array" aca="1" ref="E4" ca="1">IF(C4="", INDIRECT("'"&amp;A4&amp;"'!B3"), INDEX(INDIRECT("'"&amp;A4&amp;"'!5:5"), COLUMN(INDIRECT("'"&amp;A4&amp;"'!"&amp;C4))))</f>
        <v>National Code</v>
      </c>
      <c r="F4" s="155" cm="1">
        <f t="array" aca="1" ref="F4" ca="1">IF(C4="", "", INDEX(INDIRECT("'"&amp;A4&amp;"'!3:3"), COLUMN(INDIRECT("'"&amp;A4&amp;"'!"&amp;C4))))</f>
        <v>0</v>
      </c>
      <c r="G4" s="154" t="str" cm="1">
        <f t="array" aca="1" ref="G4" ca="1">IF(C4="", "", INDEX(INDIRECT("'"&amp;A4&amp;"'!8:8"), COLUMN(INDIRECT("'"&amp;A4&amp;"'!"&amp;C4))))</f>
        <v>Alphanumerical</v>
      </c>
      <c r="H4" s="154" t="str" cm="1">
        <f t="array" aca="1" ref="H4" ca="1">IF(C4="","",T(INDIRECT("'"&amp;A4&amp;"'!"&amp;ADDRESS(7, COLUMN(INDIRECT("'"&amp;A4&amp;"'!"&amp;C4))))))</f>
        <v/>
      </c>
      <c r="I4" s="154" t="str" cm="1">
        <f t="array" aca="1" ref="I4" ca="1">IF(C4="","",T(INDIRECT("'"&amp;A4&amp;"'!"&amp;ADDRESS(9, COLUMN(INDIRECT("'"&amp;A4&amp;"'!"&amp;C4))))))</f>
        <v/>
      </c>
    </row>
    <row r="5" spans="1:20" ht="15" customHeight="1">
      <c r="A5" s="154" t="s">
        <v>44</v>
      </c>
      <c r="B5" s="154" t="s">
        <v>83</v>
      </c>
      <c r="C5" t="s">
        <v>1551</v>
      </c>
      <c r="D5" s="154" t="s">
        <v>47</v>
      </c>
      <c r="E5" s="155" t="str" cm="1">
        <f t="array" aca="1" ref="E5" ca="1">IF(C5="", INDIRECT("'"&amp;A5&amp;"'!B3"), INDEX(INDIRECT("'"&amp;A5&amp;"'!5:5"), COLUMN(INDIRECT("'"&amp;A5&amp;"'!"&amp;C5))))</f>
        <v>Legal Name</v>
      </c>
      <c r="F5" s="155" cm="1">
        <f t="array" aca="1" ref="F5" ca="1">IF(C5="", "", INDEX(INDIRECT("'"&amp;A5&amp;"'!3:3"), COLUMN(INDIRECT("'"&amp;A5&amp;"'!"&amp;C5))))</f>
        <v>0</v>
      </c>
      <c r="G5" s="154" t="str" cm="1">
        <f t="array" aca="1" ref="G5" ca="1">IF(C5="", "", INDEX(INDIRECT("'"&amp;A5&amp;"'!8:8"), COLUMN(INDIRECT("'"&amp;A5&amp;"'!"&amp;C5))))</f>
        <v>Alphanumerical</v>
      </c>
      <c r="H5" s="154" t="str" cm="1">
        <f t="array" aca="1" ref="H5" ca="1">IF(C5="","",T(INDIRECT("'"&amp;A5&amp;"'!"&amp;ADDRESS(7, COLUMN(INDIRECT("'"&amp;A5&amp;"'!"&amp;C5))))))</f>
        <v/>
      </c>
      <c r="I5" s="154" t="str" cm="1">
        <f t="array" aca="1" ref="I5" ca="1">IF(C5="","",T(INDIRECT("'"&amp;A5&amp;"'!"&amp;ADDRESS(9, COLUMN(INDIRECT("'"&amp;A5&amp;"'!"&amp;C5))))))</f>
        <v/>
      </c>
    </row>
    <row r="6" spans="1:20" ht="15" customHeight="1">
      <c r="A6" s="154" t="s">
        <v>44</v>
      </c>
      <c r="B6" s="154" t="s">
        <v>84</v>
      </c>
      <c r="C6" t="s">
        <v>1552</v>
      </c>
      <c r="D6" s="154" t="s">
        <v>47</v>
      </c>
      <c r="E6" s="155" t="str" cm="1">
        <f t="array" aca="1" ref="E6" ca="1">IF(C6="", INDIRECT("'"&amp;A6&amp;"'!B3"), INDEX(INDIRECT("'"&amp;A6&amp;"'!5:5"), COLUMN(INDIRECT("'"&amp;A6&amp;"'!"&amp;C6))))</f>
        <v>English Name</v>
      </c>
      <c r="F6" s="155" cm="1">
        <f t="array" aca="1" ref="F6" ca="1">IF(C6="", "", INDEX(INDIRECT("'"&amp;A6&amp;"'!3:3"), COLUMN(INDIRECT("'"&amp;A6&amp;"'!"&amp;C6))))</f>
        <v>0</v>
      </c>
      <c r="G6" s="154" t="str" cm="1">
        <f t="array" aca="1" ref="G6" ca="1">IF(C6="", "", INDEX(INDIRECT("'"&amp;A6&amp;"'!8:8"), COLUMN(INDIRECT("'"&amp;A6&amp;"'!"&amp;C6))))</f>
        <v>Alphanumerical</v>
      </c>
      <c r="H6" s="154" t="str" cm="1">
        <f t="array" aca="1" ref="H6" ca="1">IF(C6="","",T(INDIRECT("'"&amp;A6&amp;"'!"&amp;ADDRESS(7, COLUMN(INDIRECT("'"&amp;A6&amp;"'!"&amp;C6))))))</f>
        <v/>
      </c>
      <c r="I6" s="154" t="str" cm="1">
        <f t="array" aca="1" ref="I6" ca="1">IF(C6="","",T(INDIRECT("'"&amp;A6&amp;"'!"&amp;ADDRESS(9, COLUMN(INDIRECT("'"&amp;A6&amp;"'!"&amp;C6))))))</f>
        <v/>
      </c>
    </row>
    <row r="7" spans="1:20" ht="15" customHeight="1">
      <c r="A7" s="154" t="s">
        <v>44</v>
      </c>
      <c r="B7" s="154" t="s">
        <v>85</v>
      </c>
      <c r="C7" t="s">
        <v>1553</v>
      </c>
      <c r="D7" s="154" t="s">
        <v>47</v>
      </c>
      <c r="E7" s="155" t="str" cm="1">
        <f t="array" aca="1" ref="E7" ca="1">IF(C7="", INDIRECT("'"&amp;A7&amp;"'!B3"), INDEX(INDIRECT("'"&amp;A7&amp;"'!5:5"), COLUMN(INDIRECT("'"&amp;A7&amp;"'!"&amp;C7))))</f>
        <v>Type of Entity</v>
      </c>
      <c r="F7" s="155" cm="1">
        <f t="array" aca="1" ref="F7" ca="1">IF(C7="", "", INDEX(INDIRECT("'"&amp;A7&amp;"'!3:3"), COLUMN(INDIRECT("'"&amp;A7&amp;"'!"&amp;C7))))</f>
        <v>0</v>
      </c>
      <c r="G7" s="154" t="str" cm="1">
        <f t="array" aca="1" ref="G7" ca="1">IF(C7="", "", INDEX(INDIRECT("'"&amp;A7&amp;"'!8:8"), COLUMN(INDIRECT("'"&amp;A7&amp;"'!"&amp;C7))))</f>
        <v>LIST_AMLA_00002</v>
      </c>
      <c r="H7" s="154" t="str" cm="1">
        <f t="array" aca="1" ref="H7" ca="1">IF(C7="","",T(INDIRECT("'"&amp;A7&amp;"'!"&amp;ADDRESS(7, COLUMN(INDIRECT("'"&amp;A7&amp;"'!"&amp;C7))))))</f>
        <v/>
      </c>
      <c r="I7" s="154" t="str" cm="1">
        <f t="array" aca="1" ref="I7" ca="1">IF(C7="","",T(INDIRECT("'"&amp;A7&amp;"'!"&amp;ADDRESS(9, COLUMN(INDIRECT("'"&amp;A7&amp;"'!"&amp;C7))))))</f>
        <v/>
      </c>
    </row>
    <row r="8" spans="1:20" ht="15" customHeight="1">
      <c r="A8" s="154" t="s">
        <v>44</v>
      </c>
      <c r="B8" s="154" t="s">
        <v>86</v>
      </c>
      <c r="C8" t="s">
        <v>1554</v>
      </c>
      <c r="D8" s="154" t="s">
        <v>47</v>
      </c>
      <c r="E8" s="155" t="str" cm="1">
        <f t="array" aca="1" ref="E8" ca="1">IF(C8="", INDIRECT("'"&amp;A8&amp;"'!B3"), INDEX(INDIRECT("'"&amp;A8&amp;"'!5:5"), COLUMN(INDIRECT("'"&amp;A8&amp;"'!"&amp;C8))))</f>
        <v>Entity Type – Description for Other FI</v>
      </c>
      <c r="F8" s="155" cm="1">
        <f t="array" aca="1" ref="F8" ca="1">IF(C8="", "", INDEX(INDIRECT("'"&amp;A8&amp;"'!3:3"), COLUMN(INDIRECT("'"&amp;A8&amp;"'!"&amp;C8))))</f>
        <v>0</v>
      </c>
      <c r="G8" s="154" t="str" cm="1">
        <f t="array" aca="1" ref="G8" ca="1">IF(C8="", "", INDEX(INDIRECT("'"&amp;A8&amp;"'!8:8"), COLUMN(INDIRECT("'"&amp;A8&amp;"'!"&amp;C8))))</f>
        <v>Alphanumerical</v>
      </c>
      <c r="H8" s="154" t="str" cm="1">
        <f t="array" aca="1" ref="H8" ca="1">IF(C8="","",T(INDIRECT("'"&amp;A8&amp;"'!"&amp;ADDRESS(7, COLUMN(INDIRECT("'"&amp;A8&amp;"'!"&amp;C8))))))</f>
        <v/>
      </c>
      <c r="I8" s="154" t="str" cm="1">
        <f t="array" aca="1" ref="I8" ca="1">IF(C8="","",T(INDIRECT("'"&amp;A8&amp;"'!"&amp;ADDRESS(9, COLUMN(INDIRECT("'"&amp;A8&amp;"'!"&amp;C8))))))</f>
        <v/>
      </c>
    </row>
    <row r="9" spans="1:20" ht="15" customHeight="1">
      <c r="A9" s="154" t="s">
        <v>44</v>
      </c>
      <c r="B9" s="154" t="s">
        <v>87</v>
      </c>
      <c r="C9" t="s">
        <v>1555</v>
      </c>
      <c r="D9" s="154" t="s">
        <v>47</v>
      </c>
      <c r="E9" s="155" t="str" cm="1">
        <f t="array" aca="1" ref="E9" ca="1">IF(C9="", INDIRECT("'"&amp;A9&amp;"'!B3"), INDEX(INDIRECT("'"&amp;A9&amp;"'!5:5"), COLUMN(INDIRECT("'"&amp;A9&amp;"'!"&amp;C9))))</f>
        <v>Country of Establishment</v>
      </c>
      <c r="F9" s="155" cm="1">
        <f t="array" aca="1" ref="F9" ca="1">IF(C9="", "", INDEX(INDIRECT("'"&amp;A9&amp;"'!3:3"), COLUMN(INDIRECT("'"&amp;A9&amp;"'!"&amp;C9))))</f>
        <v>0</v>
      </c>
      <c r="G9" s="154" t="str" cm="1">
        <f t="array" aca="1" ref="G9" ca="1">IF(C9="", "", INDEX(INDIRECT("'"&amp;A9&amp;"'!8:8"), COLUMN(INDIRECT("'"&amp;A9&amp;"'!"&amp;C9))))</f>
        <v>LIST_AMLA_00003</v>
      </c>
      <c r="H9" s="154" t="str" cm="1">
        <f t="array" aca="1" ref="H9" ca="1">IF(C9="","",T(INDIRECT("'"&amp;A9&amp;"'!"&amp;ADDRESS(7, COLUMN(INDIRECT("'"&amp;A9&amp;"'!"&amp;C9))))))</f>
        <v/>
      </c>
      <c r="I9" s="154" t="str" cm="1">
        <f t="array" aca="1" ref="I9" ca="1">IF(C9="","",T(INDIRECT("'"&amp;A9&amp;"'!"&amp;ADDRESS(9, COLUMN(INDIRECT("'"&amp;A9&amp;"'!"&amp;C9))))))</f>
        <v/>
      </c>
    </row>
    <row r="10" spans="1:20" ht="15" customHeight="1">
      <c r="A10" s="154" t="s">
        <v>44</v>
      </c>
      <c r="B10" s="154" t="s">
        <v>88</v>
      </c>
      <c r="C10" t="s">
        <v>1556</v>
      </c>
      <c r="D10" s="154" t="s">
        <v>48</v>
      </c>
      <c r="E10" s="155" t="str" cm="1">
        <f t="array" aca="1" ref="E10" ca="1">IF(C10="", INDIRECT("'"&amp;A10&amp;"'!B3"), INDEX(INDIRECT("'"&amp;A10&amp;"'!5:5"), COLUMN(INDIRECT("'"&amp;A10&amp;"'!"&amp;C10))))</f>
        <v>Currency of reporting</v>
      </c>
      <c r="F10" s="155" cm="1">
        <f t="array" aca="1" ref="F10" ca="1">IF(C10="", "", INDEX(INDIRECT("'"&amp;A10&amp;"'!3:3"), COLUMN(INDIRECT("'"&amp;A10&amp;"'!"&amp;C10))))</f>
        <v>0</v>
      </c>
      <c r="G10" s="154" t="str" cm="1">
        <f t="array" aca="1" ref="G10" ca="1">IF(C10="", "", INDEX(INDIRECT("'"&amp;A10&amp;"'!8:8"), COLUMN(INDIRECT("'"&amp;A10&amp;"'!"&amp;C10))))</f>
        <v>LIST_AMLA_00004</v>
      </c>
      <c r="H10" s="154" t="str" cm="1">
        <f t="array" aca="1" ref="H10" ca="1">IF(C10="","",T(INDIRECT("'"&amp;A10&amp;"'!"&amp;ADDRESS(7, COLUMN(INDIRECT("'"&amp;A10&amp;"'!"&amp;C10))))))</f>
        <v/>
      </c>
      <c r="I10" s="154" t="str" cm="1">
        <f t="array" aca="1" ref="I10" ca="1">IF(C10="","",T(INDIRECT("'"&amp;A10&amp;"'!"&amp;ADDRESS(9, COLUMN(INDIRECT("'"&amp;A10&amp;"'!"&amp;C10))))))</f>
        <v/>
      </c>
    </row>
    <row r="11" spans="1:20" ht="15" customHeight="1">
      <c r="A11" s="154" t="s">
        <v>44</v>
      </c>
      <c r="B11" s="154" t="s">
        <v>89</v>
      </c>
      <c r="C11" t="s">
        <v>1557</v>
      </c>
      <c r="D11" s="154" t="s">
        <v>48</v>
      </c>
      <c r="E11" s="155" t="str" cm="1">
        <f t="array" aca="1" ref="E11" ca="1">IF(C11="", INDIRECT("'"&amp;A11&amp;"'!B3"), INDEX(INDIRECT("'"&amp;A11&amp;"'!5:5"), COLUMN(INDIRECT("'"&amp;A11&amp;"'!"&amp;C11))))</f>
        <v>Payment Accounts</v>
      </c>
      <c r="F11" s="155" cm="1">
        <f t="array" aca="1" ref="F11" ca="1">IF(C11="", "", INDEX(INDIRECT("'"&amp;A11&amp;"'!3:3"), COLUMN(INDIRECT("'"&amp;A11&amp;"'!"&amp;C11))))</f>
        <v>0</v>
      </c>
      <c r="G11" s="154" t="str" cm="1">
        <f t="array" aca="1" ref="G11" ca="1">IF(C11="", "", INDEX(INDIRECT("'"&amp;A11&amp;"'!8:8"), COLUMN(INDIRECT("'"&amp;A11&amp;"'!"&amp;C11))))</f>
        <v>LIST_AMLA_00006</v>
      </c>
      <c r="H11" s="154" t="str" cm="1">
        <f t="array" aca="1" ref="H11" ca="1">IF(C11="","",T(INDIRECT("'"&amp;A11&amp;"'!"&amp;ADDRESS(7, COLUMN(INDIRECT("'"&amp;A11&amp;"'!"&amp;C11))))))</f>
        <v/>
      </c>
      <c r="I11" s="154" t="str" cm="1">
        <f t="array" aca="1" ref="I11" ca="1">IF(C11="","",T(INDIRECT("'"&amp;A11&amp;"'!"&amp;ADDRESS(9, COLUMN(INDIRECT("'"&amp;A11&amp;"'!"&amp;C11))))))</f>
        <v/>
      </c>
    </row>
    <row r="12" spans="1:20" ht="15" customHeight="1">
      <c r="A12" s="154" t="s">
        <v>44</v>
      </c>
      <c r="B12" s="154" t="s">
        <v>90</v>
      </c>
      <c r="C12" t="s">
        <v>1558</v>
      </c>
      <c r="D12" s="154" t="s">
        <v>48</v>
      </c>
      <c r="E12" s="155" t="str" cm="1">
        <f t="array" aca="1" ref="E12" ca="1">IF(C12="", INDIRECT("'"&amp;A12&amp;"'!B3"), INDEX(INDIRECT("'"&amp;A12&amp;"'!5:5"), COLUMN(INDIRECT("'"&amp;A12&amp;"'!"&amp;C12))))</f>
        <v>Virtual IBANs</v>
      </c>
      <c r="F12" s="155" cm="1">
        <f t="array" aca="1" ref="F12" ca="1">IF(C12="", "", INDEX(INDIRECT("'"&amp;A12&amp;"'!3:3"), COLUMN(INDIRECT("'"&amp;A12&amp;"'!"&amp;C12))))</f>
        <v>0</v>
      </c>
      <c r="G12" s="154" t="str" cm="1">
        <f t="array" aca="1" ref="G12" ca="1">IF(C12="", "", INDEX(INDIRECT("'"&amp;A12&amp;"'!8:8"), COLUMN(INDIRECT("'"&amp;A12&amp;"'!"&amp;C12))))</f>
        <v>LIST_AMLA_00006</v>
      </c>
      <c r="H12" s="154" t="str" cm="1">
        <f t="array" aca="1" ref="H12" ca="1">IF(C12="","",T(INDIRECT("'"&amp;A12&amp;"'!"&amp;ADDRESS(7, COLUMN(INDIRECT("'"&amp;A12&amp;"'!"&amp;C12))))))</f>
        <v/>
      </c>
      <c r="I12" s="154" t="str" cm="1">
        <f t="array" aca="1" ref="I12" ca="1">IF(C12="","",T(INDIRECT("'"&amp;A12&amp;"'!"&amp;ADDRESS(9, COLUMN(INDIRECT("'"&amp;A12&amp;"'!"&amp;C12))))))</f>
        <v/>
      </c>
    </row>
    <row r="13" spans="1:20" ht="15" customHeight="1">
      <c r="A13" s="154" t="s">
        <v>44</v>
      </c>
      <c r="B13" s="154" t="s">
        <v>91</v>
      </c>
      <c r="C13" t="s">
        <v>1559</v>
      </c>
      <c r="D13" s="154" t="s">
        <v>48</v>
      </c>
      <c r="E13" s="155" t="str" cm="1">
        <f t="array" aca="1" ref="E13" ca="1">IF(C13="", INDIRECT("'"&amp;A13&amp;"'!B3"), INDEX(INDIRECT("'"&amp;A13&amp;"'!5:5"), COLUMN(INDIRECT("'"&amp;A13&amp;"'!"&amp;C13))))</f>
        <v>Prepaid Cards</v>
      </c>
      <c r="F13" s="155" cm="1">
        <f t="array" aca="1" ref="F13" ca="1">IF(C13="", "", INDEX(INDIRECT("'"&amp;A13&amp;"'!3:3"), COLUMN(INDIRECT("'"&amp;A13&amp;"'!"&amp;C13))))</f>
        <v>0</v>
      </c>
      <c r="G13" s="154" t="str" cm="1">
        <f t="array" aca="1" ref="G13" ca="1">IF(C13="", "", INDEX(INDIRECT("'"&amp;A13&amp;"'!8:8"), COLUMN(INDIRECT("'"&amp;A13&amp;"'!"&amp;C13))))</f>
        <v>LIST_AMLA_00006</v>
      </c>
      <c r="H13" s="154" t="str" cm="1">
        <f t="array" aca="1" ref="H13" ca="1">IF(C13="","",T(INDIRECT("'"&amp;A13&amp;"'!"&amp;ADDRESS(7, COLUMN(INDIRECT("'"&amp;A13&amp;"'!"&amp;C13))))))</f>
        <v/>
      </c>
      <c r="I13" s="154" t="str" cm="1">
        <f t="array" aca="1" ref="I13" ca="1">IF(C13="","",T(INDIRECT("'"&amp;A13&amp;"'!"&amp;ADDRESS(9, COLUMN(INDIRECT("'"&amp;A13&amp;"'!"&amp;C13))))))</f>
        <v/>
      </c>
    </row>
    <row r="14" spans="1:20" ht="15" customHeight="1">
      <c r="A14" s="154" t="s">
        <v>44</v>
      </c>
      <c r="B14" s="154" t="s">
        <v>92</v>
      </c>
      <c r="C14" t="s">
        <v>1560</v>
      </c>
      <c r="D14" s="154" t="s">
        <v>48</v>
      </c>
      <c r="E14" s="155" t="str" cm="1">
        <f t="array" aca="1" ref="E14" ca="1">IF(C14="", INDIRECT("'"&amp;A14&amp;"'!B3"), INDEX(INDIRECT("'"&amp;A14&amp;"'!5:5"), COLUMN(INDIRECT("'"&amp;A14&amp;"'!"&amp;C14))))</f>
        <v>Lending/ Factoring</v>
      </c>
      <c r="F14" s="155" cm="1">
        <f t="array" aca="1" ref="F14" ca="1">IF(C14="", "", INDEX(INDIRECT("'"&amp;A14&amp;"'!3:3"), COLUMN(INDIRECT("'"&amp;A14&amp;"'!"&amp;C14))))</f>
        <v>0</v>
      </c>
      <c r="G14" s="154" t="str" cm="1">
        <f t="array" aca="1" ref="G14" ca="1">IF(C14="", "", INDEX(INDIRECT("'"&amp;A14&amp;"'!8:8"), COLUMN(INDIRECT("'"&amp;A14&amp;"'!"&amp;C14))))</f>
        <v>LIST_AMLA_00006</v>
      </c>
      <c r="H14" s="154" t="str" cm="1">
        <f t="array" aca="1" ref="H14" ca="1">IF(C14="","",T(INDIRECT("'"&amp;A14&amp;"'!"&amp;ADDRESS(7, COLUMN(INDIRECT("'"&amp;A14&amp;"'!"&amp;C14))))))</f>
        <v/>
      </c>
      <c r="I14" s="154" t="str" cm="1">
        <f t="array" aca="1" ref="I14" ca="1">IF(C14="","",T(INDIRECT("'"&amp;A14&amp;"'!"&amp;ADDRESS(9, COLUMN(INDIRECT("'"&amp;A14&amp;"'!"&amp;C14))))))</f>
        <v/>
      </c>
    </row>
    <row r="15" spans="1:20" ht="15" customHeight="1">
      <c r="A15" s="154" t="s">
        <v>44</v>
      </c>
      <c r="B15" s="154" t="s">
        <v>93</v>
      </c>
      <c r="C15" t="s">
        <v>1561</v>
      </c>
      <c r="D15" s="154" t="s">
        <v>48</v>
      </c>
      <c r="E15" s="155" t="str" cm="1">
        <f t="array" aca="1" ref="E15" ca="1">IF(C15="", INDIRECT("'"&amp;A15&amp;"'!B3"), INDEX(INDIRECT("'"&amp;A15&amp;"'!5:5"), COLUMN(INDIRECT("'"&amp;A15&amp;"'!"&amp;C15))))</f>
        <v>Life Insurance Contracts</v>
      </c>
      <c r="F15" s="155" cm="1">
        <f t="array" aca="1" ref="F15" ca="1">IF(C15="", "", INDEX(INDIRECT("'"&amp;A15&amp;"'!3:3"), COLUMN(INDIRECT("'"&amp;A15&amp;"'!"&amp;C15))))</f>
        <v>0</v>
      </c>
      <c r="G15" s="154" t="str" cm="1">
        <f t="array" aca="1" ref="G15" ca="1">IF(C15="", "", INDEX(INDIRECT("'"&amp;A15&amp;"'!8:8"), COLUMN(INDIRECT("'"&amp;A15&amp;"'!"&amp;C15))))</f>
        <v>LIST_AMLA_00006</v>
      </c>
      <c r="H15" s="154" t="str" cm="1">
        <f t="array" aca="1" ref="H15" ca="1">IF(C15="","",T(INDIRECT("'"&amp;A15&amp;"'!"&amp;ADDRESS(7, COLUMN(INDIRECT("'"&amp;A15&amp;"'!"&amp;C15))))))</f>
        <v/>
      </c>
      <c r="I15" s="154" t="str" cm="1">
        <f t="array" aca="1" ref="I15" ca="1">IF(C15="","",T(INDIRECT("'"&amp;A15&amp;"'!"&amp;ADDRESS(9, COLUMN(INDIRECT("'"&amp;A15&amp;"'!"&amp;C15))))))</f>
        <v/>
      </c>
    </row>
    <row r="16" spans="1:20" ht="15" customHeight="1">
      <c r="A16" s="154" t="s">
        <v>44</v>
      </c>
      <c r="B16" s="154" t="s">
        <v>94</v>
      </c>
      <c r="C16" t="s">
        <v>1562</v>
      </c>
      <c r="D16" s="154" t="s">
        <v>48</v>
      </c>
      <c r="E16" s="155" t="str" cm="1">
        <f t="array" aca="1" ref="E16" ca="1">IF(C16="", INDIRECT("'"&amp;A16&amp;"'!B3"), INDEX(INDIRECT("'"&amp;A16&amp;"'!5:5"), COLUMN(INDIRECT("'"&amp;A16&amp;"'!"&amp;C16))))</f>
        <v>Currency Exchange Involving Cash</v>
      </c>
      <c r="F16" s="155" cm="1">
        <f t="array" aca="1" ref="F16" ca="1">IF(C16="", "", INDEX(INDIRECT("'"&amp;A16&amp;"'!3:3"), COLUMN(INDIRECT("'"&amp;A16&amp;"'!"&amp;C16))))</f>
        <v>0</v>
      </c>
      <c r="G16" s="154" t="str" cm="1">
        <f t="array" aca="1" ref="G16" ca="1">IF(C16="", "", INDEX(INDIRECT("'"&amp;A16&amp;"'!8:8"), COLUMN(INDIRECT("'"&amp;A16&amp;"'!"&amp;C16))))</f>
        <v>LIST_AMLA_00006</v>
      </c>
      <c r="H16" s="154" t="str" cm="1">
        <f t="array" aca="1" ref="H16" ca="1">IF(C16="","",T(INDIRECT("'"&amp;A16&amp;"'!"&amp;ADDRESS(7, COLUMN(INDIRECT("'"&amp;A16&amp;"'!"&amp;C16))))))</f>
        <v/>
      </c>
      <c r="I16" s="154" t="str" cm="1">
        <f t="array" aca="1" ref="I16" ca="1">IF(C16="","",T(INDIRECT("'"&amp;A16&amp;"'!"&amp;ADDRESS(9, COLUMN(INDIRECT("'"&amp;A16&amp;"'!"&amp;C16))))))</f>
        <v/>
      </c>
    </row>
    <row r="17" spans="1:9" ht="15" customHeight="1">
      <c r="A17" s="154" t="s">
        <v>44</v>
      </c>
      <c r="B17" s="154" t="s">
        <v>95</v>
      </c>
      <c r="C17" t="s">
        <v>1563</v>
      </c>
      <c r="D17" s="154" t="s">
        <v>48</v>
      </c>
      <c r="E17" s="155" t="str" cm="1">
        <f t="array" aca="1" ref="E17" ca="1">IF(C17="", INDIRECT("'"&amp;A17&amp;"'!B3"), INDEX(INDIRECT("'"&amp;A17&amp;"'!5:5"), COLUMN(INDIRECT("'"&amp;A17&amp;"'!"&amp;C17))))</f>
        <v>Custody of Crypto Assets</v>
      </c>
      <c r="F17" s="155" cm="1">
        <f t="array" aca="1" ref="F17" ca="1">IF(C17="", "", INDEX(INDIRECT("'"&amp;A17&amp;"'!3:3"), COLUMN(INDIRECT("'"&amp;A17&amp;"'!"&amp;C17))))</f>
        <v>0</v>
      </c>
      <c r="G17" s="154" t="str" cm="1">
        <f t="array" aca="1" ref="G17" ca="1">IF(C17="", "", INDEX(INDIRECT("'"&amp;A17&amp;"'!8:8"), COLUMN(INDIRECT("'"&amp;A17&amp;"'!"&amp;C17))))</f>
        <v>LIST_AMLA_00006</v>
      </c>
      <c r="H17" s="154" t="str" cm="1">
        <f t="array" aca="1" ref="H17" ca="1">IF(C17="","",T(INDIRECT("'"&amp;A17&amp;"'!"&amp;ADDRESS(7, COLUMN(INDIRECT("'"&amp;A17&amp;"'!"&amp;C17))))))</f>
        <v/>
      </c>
      <c r="I17" s="154" t="str" cm="1">
        <f t="array" aca="1" ref="I17" ca="1">IF(C17="","",T(INDIRECT("'"&amp;A17&amp;"'!"&amp;ADDRESS(9, COLUMN(INDIRECT("'"&amp;A17&amp;"'!"&amp;C17))))))</f>
        <v/>
      </c>
    </row>
    <row r="18" spans="1:9" ht="15" customHeight="1">
      <c r="A18" s="154" t="s">
        <v>44</v>
      </c>
      <c r="B18" s="154" t="s">
        <v>96</v>
      </c>
      <c r="C18" t="s">
        <v>1564</v>
      </c>
      <c r="D18" s="154" t="s">
        <v>49</v>
      </c>
      <c r="E18" s="155" t="str" cm="1">
        <f t="array" aca="1" ref="E18" ca="1">IF(C18="", INDIRECT("'"&amp;A18&amp;"'!B3"), INDEX(INDIRECT("'"&amp;A18&amp;"'!5:5"), COLUMN(INDIRECT("'"&amp;A18&amp;"'!"&amp;C18))))</f>
        <v>Investment Services</v>
      </c>
      <c r="F18" s="155" cm="1">
        <f t="array" aca="1" ref="F18" ca="1">IF(C18="", "", INDEX(INDIRECT("'"&amp;A18&amp;"'!3:3"), COLUMN(INDIRECT("'"&amp;A18&amp;"'!"&amp;C18))))</f>
        <v>0</v>
      </c>
      <c r="G18" s="154" t="str" cm="1">
        <f t="array" aca="1" ref="G18" ca="1">IF(C18="", "", INDEX(INDIRECT("'"&amp;A18&amp;"'!8:8"), COLUMN(INDIRECT("'"&amp;A18&amp;"'!"&amp;C18))))</f>
        <v>LIST_AMLA_00006</v>
      </c>
      <c r="H18" s="154" t="str" cm="1">
        <f t="array" aca="1" ref="H18" ca="1">IF(C18="","",T(INDIRECT("'"&amp;A18&amp;"'!"&amp;ADDRESS(7, COLUMN(INDIRECT("'"&amp;A18&amp;"'!"&amp;C18))))))</f>
        <v/>
      </c>
      <c r="I18" s="154" t="str" cm="1">
        <f t="array" aca="1" ref="I18" ca="1">IF(C18="","",T(INDIRECT("'"&amp;A18&amp;"'!"&amp;ADDRESS(9, COLUMN(INDIRECT("'"&amp;A18&amp;"'!"&amp;C18))))))</f>
        <v/>
      </c>
    </row>
    <row r="19" spans="1:9" ht="15" customHeight="1">
      <c r="A19" s="154" t="s">
        <v>44</v>
      </c>
      <c r="B19" s="154" t="s">
        <v>97</v>
      </c>
      <c r="C19" t="s">
        <v>1565</v>
      </c>
      <c r="D19" s="154" t="s">
        <v>49</v>
      </c>
      <c r="E19" s="155" t="str" cm="1">
        <f t="array" aca="1" ref="E19" ca="1">IF(C19="", INDIRECT("'"&amp;A19&amp;"'!B3"), INDEX(INDIRECT("'"&amp;A19&amp;"'!5:5"), COLUMN(INDIRECT("'"&amp;A19&amp;"'!"&amp;C19))))</f>
        <v>Money Remittance</v>
      </c>
      <c r="F19" s="155" cm="1">
        <f t="array" aca="1" ref="F19" ca="1">IF(C19="", "", INDEX(INDIRECT("'"&amp;A19&amp;"'!3:3"), COLUMN(INDIRECT("'"&amp;A19&amp;"'!"&amp;C19))))</f>
        <v>0</v>
      </c>
      <c r="G19" s="154" t="str" cm="1">
        <f t="array" aca="1" ref="G19" ca="1">IF(C19="", "", INDEX(INDIRECT("'"&amp;A19&amp;"'!8:8"), COLUMN(INDIRECT("'"&amp;A19&amp;"'!"&amp;C19))))</f>
        <v>LIST_AMLA_00006</v>
      </c>
      <c r="H19" s="154" t="str" cm="1">
        <f t="array" aca="1" ref="H19" ca="1">IF(C19="","",T(INDIRECT("'"&amp;A19&amp;"'!"&amp;ADDRESS(7, COLUMN(INDIRECT("'"&amp;A19&amp;"'!"&amp;C19))))))</f>
        <v/>
      </c>
      <c r="I19" s="154" t="str" cm="1">
        <f t="array" aca="1" ref="I19" ca="1">IF(C19="","",T(INDIRECT("'"&amp;A19&amp;"'!"&amp;ADDRESS(9, COLUMN(INDIRECT("'"&amp;A19&amp;"'!"&amp;C19))))))</f>
        <v/>
      </c>
    </row>
    <row r="20" spans="1:9" ht="15" customHeight="1">
      <c r="A20" s="154" t="s">
        <v>44</v>
      </c>
      <c r="B20" s="154" t="s">
        <v>98</v>
      </c>
      <c r="C20" t="s">
        <v>1566</v>
      </c>
      <c r="D20" s="154" t="s">
        <v>49</v>
      </c>
      <c r="E20" s="155" t="str" cm="1">
        <f t="array" aca="1" ref="E20" ca="1">IF(C20="", INDIRECT("'"&amp;A20&amp;"'!B3"), INDEX(INDIRECT("'"&amp;A20&amp;"'!5:5"), COLUMN(INDIRECT("'"&amp;A20&amp;"'!"&amp;C20))))</f>
        <v>Wealth Management</v>
      </c>
      <c r="F20" s="155" cm="1">
        <f t="array" aca="1" ref="F20" ca="1">IF(C20="", "", INDEX(INDIRECT("'"&amp;A20&amp;"'!3:3"), COLUMN(INDIRECT("'"&amp;A20&amp;"'!"&amp;C20))))</f>
        <v>0</v>
      </c>
      <c r="G20" s="154" t="str" cm="1">
        <f t="array" aca="1" ref="G20" ca="1">IF(C20="", "", INDEX(INDIRECT("'"&amp;A20&amp;"'!8:8"), COLUMN(INDIRECT("'"&amp;A20&amp;"'!"&amp;C20))))</f>
        <v>LIST_AMLA_00006</v>
      </c>
      <c r="H20" s="154" t="str" cm="1">
        <f t="array" aca="1" ref="H20" ca="1">IF(C20="","",T(INDIRECT("'"&amp;A20&amp;"'!"&amp;ADDRESS(7, COLUMN(INDIRECT("'"&amp;A20&amp;"'!"&amp;C20))))))</f>
        <v/>
      </c>
      <c r="I20" s="154" t="str" cm="1">
        <f t="array" aca="1" ref="I20" ca="1">IF(C20="","",T(INDIRECT("'"&amp;A20&amp;"'!"&amp;ADDRESS(9, COLUMN(INDIRECT("'"&amp;A20&amp;"'!"&amp;C20))))))</f>
        <v/>
      </c>
    </row>
    <row r="21" spans="1:9" ht="15" customHeight="1">
      <c r="A21" s="154" t="s">
        <v>44</v>
      </c>
      <c r="B21" s="154" t="s">
        <v>99</v>
      </c>
      <c r="C21" t="s">
        <v>1567</v>
      </c>
      <c r="D21" s="154" t="s">
        <v>49</v>
      </c>
      <c r="E21" s="155" t="str" cm="1">
        <f t="array" aca="1" ref="E21" ca="1">IF(C21="", INDIRECT("'"&amp;A21&amp;"'!B3"), INDEX(INDIRECT("'"&amp;A21&amp;"'!5:5"), COLUMN(INDIRECT("'"&amp;A21&amp;"'!"&amp;C21))))</f>
        <v>Correspondent Services</v>
      </c>
      <c r="F21" s="155" cm="1">
        <f t="array" aca="1" ref="F21" ca="1">IF(C21="", "", INDEX(INDIRECT("'"&amp;A21&amp;"'!3:3"), COLUMN(INDIRECT("'"&amp;A21&amp;"'!"&amp;C21))))</f>
        <v>0</v>
      </c>
      <c r="G21" s="154" t="str" cm="1">
        <f t="array" aca="1" ref="G21" ca="1">IF(C21="", "", INDEX(INDIRECT("'"&amp;A21&amp;"'!8:8"), COLUMN(INDIRECT("'"&amp;A21&amp;"'!"&amp;C21))))</f>
        <v>LIST_AMLA_00006</v>
      </c>
      <c r="H21" s="154" t="str" cm="1">
        <f t="array" aca="1" ref="H21" ca="1">IF(C21="","",T(INDIRECT("'"&amp;A21&amp;"'!"&amp;ADDRESS(7, COLUMN(INDIRECT("'"&amp;A21&amp;"'!"&amp;C21))))))</f>
        <v/>
      </c>
      <c r="I21" s="154" t="str" cm="1">
        <f t="array" aca="1" ref="I21" ca="1">IF(C21="","",T(INDIRECT("'"&amp;A21&amp;"'!"&amp;ADDRESS(9, COLUMN(INDIRECT("'"&amp;A21&amp;"'!"&amp;C21))))))</f>
        <v/>
      </c>
    </row>
    <row r="22" spans="1:9" ht="15" customHeight="1">
      <c r="A22" s="154" t="s">
        <v>44</v>
      </c>
      <c r="B22" s="154" t="s">
        <v>100</v>
      </c>
      <c r="C22" t="s">
        <v>1568</v>
      </c>
      <c r="D22" s="154" t="s">
        <v>49</v>
      </c>
      <c r="E22" s="155" t="str" cm="1">
        <f t="array" aca="1" ref="E22" ca="1">IF(C22="", INDIRECT("'"&amp;A22&amp;"'!B3"), INDEX(INDIRECT("'"&amp;A22&amp;"'!5:5"), COLUMN(INDIRECT("'"&amp;A22&amp;"'!"&amp;C22))))</f>
        <v>Trade Finance</v>
      </c>
      <c r="F22" s="155" cm="1">
        <f t="array" aca="1" ref="F22" ca="1">IF(C22="", "", INDEX(INDIRECT("'"&amp;A22&amp;"'!3:3"), COLUMN(INDIRECT("'"&amp;A22&amp;"'!"&amp;C22))))</f>
        <v>0</v>
      </c>
      <c r="G22" s="154" t="str" cm="1">
        <f t="array" aca="1" ref="G22" ca="1">IF(C22="", "", INDEX(INDIRECT("'"&amp;A22&amp;"'!8:8"), COLUMN(INDIRECT("'"&amp;A22&amp;"'!"&amp;C22))))</f>
        <v>LIST_AMLA_00006</v>
      </c>
      <c r="H22" s="154" t="str" cm="1">
        <f t="array" aca="1" ref="H22" ca="1">IF(C22="","",T(INDIRECT("'"&amp;A22&amp;"'!"&amp;ADDRESS(7, COLUMN(INDIRECT("'"&amp;A22&amp;"'!"&amp;C22))))))</f>
        <v/>
      </c>
      <c r="I22" s="154" t="str" cm="1">
        <f t="array" aca="1" ref="I22" ca="1">IF(C22="","",T(INDIRECT("'"&amp;A22&amp;"'!"&amp;ADDRESS(9, COLUMN(INDIRECT("'"&amp;A22&amp;"'!"&amp;C22))))))</f>
        <v/>
      </c>
    </row>
    <row r="23" spans="1:9" ht="15" customHeight="1">
      <c r="A23" s="154" t="s">
        <v>44</v>
      </c>
      <c r="B23" s="154" t="s">
        <v>101</v>
      </c>
      <c r="C23" t="s">
        <v>1569</v>
      </c>
      <c r="D23" s="154" t="s">
        <v>49</v>
      </c>
      <c r="E23" s="155" t="str" cm="1">
        <f t="array" aca="1" ref="E23" ca="1">IF(C23="", INDIRECT("'"&amp;A23&amp;"'!B3"), INDEX(INDIRECT("'"&amp;A23&amp;"'!5:5"), COLUMN(INDIRECT("'"&amp;A23&amp;"'!"&amp;C23))))</f>
        <v>E-money</v>
      </c>
      <c r="F23" s="155" cm="1">
        <f t="array" aca="1" ref="F23" ca="1">IF(C23="", "", INDEX(INDIRECT("'"&amp;A23&amp;"'!3:3"), COLUMN(INDIRECT("'"&amp;A23&amp;"'!"&amp;C23))))</f>
        <v>0</v>
      </c>
      <c r="G23" s="154" t="str" cm="1">
        <f t="array" aca="1" ref="G23" ca="1">IF(C23="", "", INDEX(INDIRECT("'"&amp;A23&amp;"'!8:8"), COLUMN(INDIRECT("'"&amp;A23&amp;"'!"&amp;C23))))</f>
        <v>LIST_AMLA_00006</v>
      </c>
      <c r="H23" s="154" t="str" cm="1">
        <f t="array" aca="1" ref="H23" ca="1">IF(C23="","",T(INDIRECT("'"&amp;A23&amp;"'!"&amp;ADDRESS(7, COLUMN(INDIRECT("'"&amp;A23&amp;"'!"&amp;C23))))))</f>
        <v/>
      </c>
      <c r="I23" s="154" t="str" cm="1">
        <f t="array" aca="1" ref="I23" ca="1">IF(C23="","",T(INDIRECT("'"&amp;A23&amp;"'!"&amp;ADDRESS(9, COLUMN(INDIRECT("'"&amp;A23&amp;"'!"&amp;C23))))))</f>
        <v/>
      </c>
    </row>
    <row r="24" spans="1:9" ht="15" customHeight="1">
      <c r="A24" s="154" t="s">
        <v>44</v>
      </c>
      <c r="B24" s="154" t="s">
        <v>102</v>
      </c>
      <c r="C24" t="s">
        <v>1570</v>
      </c>
      <c r="D24" s="154" t="s">
        <v>49</v>
      </c>
      <c r="E24" s="155" t="str" cm="1">
        <f t="array" aca="1" ref="E24" ca="1">IF(C24="", INDIRECT("'"&amp;A24&amp;"'!B3"), INDEX(INDIRECT("'"&amp;A24&amp;"'!5:5"), COLUMN(INDIRECT("'"&amp;A24&amp;"'!"&amp;C24))))</f>
        <v>TCSP Services</v>
      </c>
      <c r="F24" s="155" cm="1">
        <f t="array" aca="1" ref="F24" ca="1">IF(C24="", "", INDEX(INDIRECT("'"&amp;A24&amp;"'!3:3"), COLUMN(INDIRECT("'"&amp;A24&amp;"'!"&amp;C24))))</f>
        <v>0</v>
      </c>
      <c r="G24" s="154" t="str" cm="1">
        <f t="array" aca="1" ref="G24" ca="1">IF(C24="", "", INDEX(INDIRECT("'"&amp;A24&amp;"'!8:8"), COLUMN(INDIRECT("'"&amp;A24&amp;"'!"&amp;C24))))</f>
        <v>LIST_AMLA_00006</v>
      </c>
      <c r="H24" s="154" t="str" cm="1">
        <f t="array" aca="1" ref="H24" ca="1">IF(C24="","",T(INDIRECT("'"&amp;A24&amp;"'!"&amp;ADDRESS(7, COLUMN(INDIRECT("'"&amp;A24&amp;"'!"&amp;C24))))))</f>
        <v/>
      </c>
      <c r="I24" s="154" t="str" cm="1">
        <f t="array" aca="1" ref="I24" ca="1">IF(C24="","",T(INDIRECT("'"&amp;A24&amp;"'!"&amp;ADDRESS(9, COLUMN(INDIRECT("'"&amp;A24&amp;"'!"&amp;C24))))))</f>
        <v/>
      </c>
    </row>
    <row r="25" spans="1:9" ht="15" customHeight="1">
      <c r="A25" s="154" t="s">
        <v>44</v>
      </c>
      <c r="B25" s="154" t="s">
        <v>103</v>
      </c>
      <c r="C25" t="s">
        <v>1571</v>
      </c>
      <c r="D25" s="154" t="s">
        <v>49</v>
      </c>
      <c r="E25" s="155" t="str" cm="1">
        <f t="array" aca="1" ref="E25" ca="1">IF(C25="", INDIRECT("'"&amp;A25&amp;"'!B3"), INDEX(INDIRECT("'"&amp;A25&amp;"'!5:5"), COLUMN(INDIRECT("'"&amp;A25&amp;"'!"&amp;C25))))</f>
        <v>Crypto Services (exchange, transfer)</v>
      </c>
      <c r="F25" s="155" cm="1">
        <f t="array" aca="1" ref="F25" ca="1">IF(C25="", "", INDEX(INDIRECT("'"&amp;A25&amp;"'!3:3"), COLUMN(INDIRECT("'"&amp;A25&amp;"'!"&amp;C25))))</f>
        <v>0</v>
      </c>
      <c r="G25" s="154" t="str" cm="1">
        <f t="array" aca="1" ref="G25" ca="1">IF(C25="", "", INDEX(INDIRECT("'"&amp;A25&amp;"'!8:8"), COLUMN(INDIRECT("'"&amp;A25&amp;"'!"&amp;C25))))</f>
        <v>LIST_AMLA_00006</v>
      </c>
      <c r="H25" s="154" t="str" cm="1">
        <f t="array" aca="1" ref="H25" ca="1">IF(C25="","",T(INDIRECT("'"&amp;A25&amp;"'!"&amp;ADDRESS(7, COLUMN(INDIRECT("'"&amp;A25&amp;"'!"&amp;C25))))))</f>
        <v/>
      </c>
      <c r="I25" s="154" t="str" cm="1">
        <f t="array" aca="1" ref="I25" ca="1">IF(C25="","",T(INDIRECT("'"&amp;A25&amp;"'!"&amp;ADDRESS(9, COLUMN(INDIRECT("'"&amp;A25&amp;"'!"&amp;C25))))))</f>
        <v/>
      </c>
    </row>
    <row r="26" spans="1:9" ht="15" customHeight="1">
      <c r="A26" s="154" t="s">
        <v>44</v>
      </c>
      <c r="B26" s="154" t="s">
        <v>104</v>
      </c>
      <c r="C26" t="s">
        <v>1572</v>
      </c>
      <c r="D26" s="154" t="s">
        <v>49</v>
      </c>
      <c r="E26" s="155" t="str" cm="1">
        <f t="array" aca="1" ref="E26" ca="1">IF(C26="", INDIRECT("'"&amp;A26&amp;"'!B3"), INDEX(INDIRECT("'"&amp;A26&amp;"'!5:5"), COLUMN(INDIRECT("'"&amp;A26&amp;"'!"&amp;C26))))</f>
        <v>Management of UCITS</v>
      </c>
      <c r="F26" s="155" cm="1">
        <f t="array" aca="1" ref="F26" ca="1">IF(C26="", "", INDEX(INDIRECT("'"&amp;A26&amp;"'!3:3"), COLUMN(INDIRECT("'"&amp;A26&amp;"'!"&amp;C26))))</f>
        <v>0</v>
      </c>
      <c r="G26" s="154" t="str" cm="1">
        <f t="array" aca="1" ref="G26" ca="1">IF(C26="", "", INDEX(INDIRECT("'"&amp;A26&amp;"'!8:8"), COLUMN(INDIRECT("'"&amp;A26&amp;"'!"&amp;C26))))</f>
        <v>LIST_AMLA_00006</v>
      </c>
      <c r="H26" s="154" t="str" cm="1">
        <f t="array" aca="1" ref="H26" ca="1">IF(C26="","",T(INDIRECT("'"&amp;A26&amp;"'!"&amp;ADDRESS(7, COLUMN(INDIRECT("'"&amp;A26&amp;"'!"&amp;C26))))))</f>
        <v/>
      </c>
      <c r="I26" s="154" t="str" cm="1">
        <f t="array" aca="1" ref="I26" ca="1">IF(C26="","",T(INDIRECT("'"&amp;A26&amp;"'!"&amp;ADDRESS(9, COLUMN(INDIRECT("'"&amp;A26&amp;"'!"&amp;C26))))))</f>
        <v/>
      </c>
    </row>
    <row r="27" spans="1:9" ht="15" customHeight="1">
      <c r="A27" s="154" t="s">
        <v>44</v>
      </c>
      <c r="B27" s="154" t="s">
        <v>105</v>
      </c>
      <c r="C27" t="s">
        <v>1573</v>
      </c>
      <c r="D27" s="154" t="s">
        <v>49</v>
      </c>
      <c r="E27" s="155" t="str" cm="1">
        <f t="array" aca="1" ref="E27" ca="1">IF(C27="", INDIRECT("'"&amp;A27&amp;"'!B3"), INDEX(INDIRECT("'"&amp;A27&amp;"'!5:5"), COLUMN(INDIRECT("'"&amp;A27&amp;"'!"&amp;C27))))</f>
        <v>Management of AIFs</v>
      </c>
      <c r="F27" s="155" cm="1">
        <f t="array" aca="1" ref="F27" ca="1">IF(C27="", "", INDEX(INDIRECT("'"&amp;A27&amp;"'!3:3"), COLUMN(INDIRECT("'"&amp;A27&amp;"'!"&amp;C27))))</f>
        <v>0</v>
      </c>
      <c r="G27" s="154" t="str" cm="1">
        <f t="array" aca="1" ref="G27" ca="1">IF(C27="", "", INDEX(INDIRECT("'"&amp;A27&amp;"'!8:8"), COLUMN(INDIRECT("'"&amp;A27&amp;"'!"&amp;C27))))</f>
        <v>LIST_AMLA_00006</v>
      </c>
      <c r="H27" s="154" t="str" cm="1">
        <f t="array" aca="1" ref="H27" ca="1">IF(C27="","",T(INDIRECT("'"&amp;A27&amp;"'!"&amp;ADDRESS(7, COLUMN(INDIRECT("'"&amp;A27&amp;"'!"&amp;C27))))))</f>
        <v/>
      </c>
      <c r="I27" s="154" t="str" cm="1">
        <f t="array" aca="1" ref="I27" ca="1">IF(C27="","",T(INDIRECT("'"&amp;A27&amp;"'!"&amp;ADDRESS(9, COLUMN(INDIRECT("'"&amp;A27&amp;"'!"&amp;C27))))))</f>
        <v/>
      </c>
    </row>
    <row r="28" spans="1:9" ht="15" customHeight="1">
      <c r="A28" s="154" t="s">
        <v>44</v>
      </c>
      <c r="B28" s="154" t="s">
        <v>106</v>
      </c>
      <c r="C28" t="s">
        <v>1574</v>
      </c>
      <c r="D28" s="154" t="s">
        <v>49</v>
      </c>
      <c r="E28" s="155" t="str" cm="1">
        <f t="array" aca="1" ref="E28" ca="1">IF(C28="", INDIRECT("'"&amp;A28&amp;"'!B3"), INDEX(INDIRECT("'"&amp;A28&amp;"'!5:5"), COLUMN(INDIRECT("'"&amp;A28&amp;"'!"&amp;C28))))</f>
        <v>Crypto FIAT Cards</v>
      </c>
      <c r="F28" s="155" cm="1">
        <f t="array" aca="1" ref="F28" ca="1">IF(C28="", "", INDEX(INDIRECT("'"&amp;A28&amp;"'!3:3"), COLUMN(INDIRECT("'"&amp;A28&amp;"'!"&amp;C28))))</f>
        <v>0</v>
      </c>
      <c r="G28" s="154" t="str" cm="1">
        <f t="array" aca="1" ref="G28" ca="1">IF(C28="", "", INDEX(INDIRECT("'"&amp;A28&amp;"'!8:8"), COLUMN(INDIRECT("'"&amp;A28&amp;"'!"&amp;C28))))</f>
        <v>LIST_AMLA_00006</v>
      </c>
      <c r="H28" s="154" t="str" cm="1">
        <f t="array" aca="1" ref="H28" ca="1">IF(C28="","",T(INDIRECT("'"&amp;A28&amp;"'!"&amp;ADDRESS(7, COLUMN(INDIRECT("'"&amp;A28&amp;"'!"&amp;C28))))))</f>
        <v/>
      </c>
      <c r="I28" s="154" t="str" cm="1">
        <f t="array" aca="1" ref="I28" ca="1">IF(C28="","",T(INDIRECT("'"&amp;A28&amp;"'!"&amp;ADDRESS(9, COLUMN(INDIRECT("'"&amp;A28&amp;"'!"&amp;C28))))))</f>
        <v/>
      </c>
    </row>
    <row r="29" spans="1:9" ht="15" customHeight="1">
      <c r="A29" s="154" t="s">
        <v>44</v>
      </c>
      <c r="B29" s="154" t="s">
        <v>107</v>
      </c>
      <c r="C29" t="s">
        <v>1575</v>
      </c>
      <c r="D29" s="154" t="s">
        <v>49</v>
      </c>
      <c r="E29" s="155" t="str" cm="1">
        <f t="array" aca="1" ref="E29" ca="1">IF(C29="", INDIRECT("'"&amp;A29&amp;"'!B3"), INDEX(INDIRECT("'"&amp;A29&amp;"'!5:5"), COLUMN(INDIRECT("'"&amp;A29&amp;"'!"&amp;C29))))</f>
        <v>Safe Custody Services</v>
      </c>
      <c r="F29" s="155" cm="1">
        <f t="array" aca="1" ref="F29" ca="1">IF(C29="", "", INDEX(INDIRECT("'"&amp;A29&amp;"'!3:3"), COLUMN(INDIRECT("'"&amp;A29&amp;"'!"&amp;C29))))</f>
        <v>0</v>
      </c>
      <c r="G29" s="154" t="str" cm="1">
        <f t="array" aca="1" ref="G29" ca="1">IF(C29="", "", INDEX(INDIRECT("'"&amp;A29&amp;"'!8:8"), COLUMN(INDIRECT("'"&amp;A29&amp;"'!"&amp;C29))))</f>
        <v>LIST_AMLA_00006</v>
      </c>
      <c r="H29" s="154" t="str" cm="1">
        <f t="array" aca="1" ref="H29" ca="1">IF(C29="","",T(INDIRECT("'"&amp;A29&amp;"'!"&amp;ADDRESS(7, COLUMN(INDIRECT("'"&amp;A29&amp;"'!"&amp;C29))))))</f>
        <v/>
      </c>
      <c r="I29" s="154" t="str" cm="1">
        <f t="array" aca="1" ref="I29" ca="1">IF(C29="","",T(INDIRECT("'"&amp;A29&amp;"'!"&amp;ADDRESS(9, COLUMN(INDIRECT("'"&amp;A29&amp;"'!"&amp;C29))))))</f>
        <v/>
      </c>
    </row>
    <row r="30" spans="1:9" ht="15" customHeight="1">
      <c r="A30" s="154" t="s">
        <v>44</v>
      </c>
      <c r="B30" s="154" t="s">
        <v>108</v>
      </c>
      <c r="C30" t="s">
        <v>1576</v>
      </c>
      <c r="D30" s="154" t="s">
        <v>49</v>
      </c>
      <c r="E30" s="155" t="str" cm="1">
        <f t="array" aca="1" ref="E30" ca="1">IF(C30="", INDIRECT("'"&amp;A30&amp;"'!B3"), INDEX(INDIRECT("'"&amp;A30&amp;"'!5:5"), COLUMN(INDIRECT("'"&amp;A30&amp;"'!"&amp;C30))))</f>
        <v>Crowdfunding</v>
      </c>
      <c r="F30" s="155" cm="1">
        <f t="array" aca="1" ref="F30" ca="1">IF(C30="", "", INDEX(INDIRECT("'"&amp;A30&amp;"'!3:3"), COLUMN(INDIRECT("'"&amp;A30&amp;"'!"&amp;C30))))</f>
        <v>0</v>
      </c>
      <c r="G30" s="154" t="str" cm="1">
        <f t="array" aca="1" ref="G30" ca="1">IF(C30="", "", INDEX(INDIRECT("'"&amp;A30&amp;"'!8:8"), COLUMN(INDIRECT("'"&amp;A30&amp;"'!"&amp;C30))))</f>
        <v>LIST_AMLA_00006</v>
      </c>
      <c r="H30" s="154" t="str" cm="1">
        <f t="array" aca="1" ref="H30" ca="1">IF(C30="","",T(INDIRECT("'"&amp;A30&amp;"'!"&amp;ADDRESS(7, COLUMN(INDIRECT("'"&amp;A30&amp;"'!"&amp;C30))))))</f>
        <v/>
      </c>
      <c r="I30" s="154" t="str" cm="1">
        <f t="array" aca="1" ref="I30" ca="1">IF(C30="","",T(INDIRECT("'"&amp;A30&amp;"'!"&amp;ADDRESS(9, COLUMN(INDIRECT("'"&amp;A30&amp;"'!"&amp;C30))))))</f>
        <v/>
      </c>
    </row>
    <row r="31" spans="1:9" ht="15" customHeight="1">
      <c r="A31" s="154" t="s">
        <v>44</v>
      </c>
      <c r="B31" s="154" t="s">
        <v>109</v>
      </c>
      <c r="C31" t="s">
        <v>1577</v>
      </c>
      <c r="D31" s="154" t="s">
        <v>49</v>
      </c>
      <c r="E31" s="155" t="str" cm="1">
        <f t="array" aca="1" ref="E31" ca="1">IF(C31="", INDIRECT("'"&amp;A31&amp;"'!B3"), INDEX(INDIRECT("'"&amp;A31&amp;"'!5:5"), COLUMN(INDIRECT("'"&amp;A31&amp;"'!"&amp;C31))))</f>
        <v>Cash Transactions</v>
      </c>
      <c r="F31" s="155" cm="1">
        <f t="array" aca="1" ref="F31" ca="1">IF(C31="", "", INDEX(INDIRECT("'"&amp;A31&amp;"'!3:3"), COLUMN(INDIRECT("'"&amp;A31&amp;"'!"&amp;C31))))</f>
        <v>0</v>
      </c>
      <c r="G31" s="154" t="str" cm="1">
        <f t="array" aca="1" ref="G31" ca="1">IF(C31="", "", INDEX(INDIRECT("'"&amp;A31&amp;"'!8:8"), COLUMN(INDIRECT("'"&amp;A31&amp;"'!"&amp;C31))))</f>
        <v>LIST_AMLA_00006</v>
      </c>
    </row>
    <row r="32" spans="1:9" ht="15" customHeight="1">
      <c r="A32" s="154" t="s">
        <v>120</v>
      </c>
      <c r="E32" s="155" cm="1">
        <f t="array" aca="1" ref="E32" ca="1">IF(C32="", INDIRECT("'"&amp;A32&amp;"'!B3"), INDEX(INDIRECT("'"&amp;A32&amp;"'!5:5"), COLUMN(INDIRECT("'"&amp;A32&amp;"'!"&amp;C32))))</f>
        <v>0</v>
      </c>
      <c r="F32" s="155" t="str" cm="1">
        <f t="array" aca="1" ref="F32" ca="1">IF(C32="", "", INDEX(INDIRECT("'"&amp;A32&amp;"'!3:3"), COLUMN(INDIRECT("'"&amp;A32&amp;"'!"&amp;C32))))</f>
        <v/>
      </c>
      <c r="G32" s="154" t="str" cm="1">
        <f t="array" aca="1" ref="G32" ca="1">IF(C32="", "", INDEX(INDIRECT("'"&amp;A32&amp;"'!8:8"), COLUMN(INDIRECT("'"&amp;A32&amp;"'!"&amp;C32))))</f>
        <v/>
      </c>
      <c r="H32" s="154" t="str" cm="1">
        <f t="array" aca="1" ref="H32" ca="1">IF(C32="","",T(INDIRECT("'"&amp;A32&amp;"'!"&amp;ADDRESS(7, COLUMN(INDIRECT("'"&amp;A32&amp;"'!"&amp;C32))))))</f>
        <v/>
      </c>
      <c r="I32" s="154" t="str" cm="1">
        <f t="array" aca="1" ref="I32" ca="1">IF(C32="","",T(INDIRECT("'"&amp;A32&amp;"'!"&amp;ADDRESS(9, COLUMN(INDIRECT("'"&amp;A32&amp;"'!"&amp;C32))))))</f>
        <v/>
      </c>
    </row>
    <row r="33" spans="1:12" ht="15" customHeight="1">
      <c r="A33" s="154" t="s">
        <v>120</v>
      </c>
      <c r="B33" s="154" t="s">
        <v>81</v>
      </c>
      <c r="C33" t="s">
        <v>1549</v>
      </c>
      <c r="D33" s="154" t="s">
        <v>121</v>
      </c>
      <c r="E33" s="155" t="str" cm="1">
        <f t="array" aca="1" ref="E33" ca="1">IF(C33="", INDIRECT("'"&amp;A33&amp;"'!B3"), INDEX(INDIRECT("'"&amp;A33&amp;"'!5:5"), COLUMN(INDIRECT("'"&amp;A33&amp;"'!"&amp;C33))))</f>
        <v>Template Reference</v>
      </c>
      <c r="F33" s="155" cm="1">
        <f t="array" aca="1" ref="F33" ca="1">IF(C33="", "", INDEX(INDIRECT("'"&amp;A33&amp;"'!3:3"), COLUMN(INDIRECT("'"&amp;A33&amp;"'!"&amp;C33))))</f>
        <v>0</v>
      </c>
      <c r="G33" s="154" t="str" cm="1">
        <f t="array" aca="1" ref="G33" ca="1">IF(C33="", "", INDEX(INDIRECT("'"&amp;A33&amp;"'!8:8"), COLUMN(INDIRECT("'"&amp;A33&amp;"'!"&amp;C33))))</f>
        <v>LIST_AMLA_00007</v>
      </c>
      <c r="H33" s="154" t="str" cm="1">
        <f t="array" aca="1" ref="H33" ca="1">IF(C33="","",T(INDIRECT("'"&amp;A33&amp;"'!"&amp;ADDRESS(7, COLUMN(INDIRECT("'"&amp;A33&amp;"'!"&amp;C33))))))</f>
        <v/>
      </c>
      <c r="I33" s="154" t="str" cm="1">
        <f t="array" aca="1" ref="I33" ca="1">IF(C33="","",T(INDIRECT("'"&amp;A33&amp;"'!"&amp;ADDRESS(9, COLUMN(INDIRECT("'"&amp;A33&amp;"'!"&amp;C33))))))</f>
        <v/>
      </c>
    </row>
    <row r="34" spans="1:12" ht="15" customHeight="1">
      <c r="A34" s="154" t="s">
        <v>120</v>
      </c>
      <c r="B34" s="154" t="s">
        <v>82</v>
      </c>
      <c r="C34" t="s">
        <v>1550</v>
      </c>
      <c r="D34" s="154" t="s">
        <v>121</v>
      </c>
      <c r="E34" s="155" t="str" cm="1">
        <f t="array" aca="1" ref="E34" ca="1">IF(C34="", INDIRECT("'"&amp;A34&amp;"'!B3"), INDEX(INDIRECT("'"&amp;A34&amp;"'!5:5"), COLUMN(INDIRECT("'"&amp;A34&amp;"'!"&amp;C34))))</f>
        <v>Column Reference</v>
      </c>
      <c r="F34" s="155" cm="1">
        <f t="array" aca="1" ref="F34" ca="1">IF(C34="", "", INDEX(INDIRECT("'"&amp;A34&amp;"'!3:3"), COLUMN(INDIRECT("'"&amp;A34&amp;"'!"&amp;C34))))</f>
        <v>0</v>
      </c>
      <c r="G34" s="154" t="str" cm="1">
        <f t="array" aca="1" ref="G34" ca="1">IF(C34="", "", INDEX(INDIRECT("'"&amp;A34&amp;"'!8:8"), COLUMN(INDIRECT("'"&amp;A34&amp;"'!"&amp;C34))))</f>
        <v>LIST_AMLA_00008</v>
      </c>
      <c r="H34" s="154" t="str" cm="1">
        <f t="array" aca="1" ref="H34" ca="1">IF(C34="","",T(INDIRECT("'"&amp;A34&amp;"'!"&amp;ADDRESS(7, COLUMN(INDIRECT("'"&amp;A34&amp;"'!"&amp;C34))))))</f>
        <v/>
      </c>
      <c r="I34" s="154" t="str" cm="1">
        <f t="array" aca="1" ref="I34" ca="1">IF(C34="","",T(INDIRECT("'"&amp;A34&amp;"'!"&amp;ADDRESS(9, COLUMN(INDIRECT("'"&amp;A34&amp;"'!"&amp;C34))))))</f>
        <v/>
      </c>
    </row>
    <row r="35" spans="1:12" ht="15" customHeight="1">
      <c r="A35" s="154" t="s">
        <v>120</v>
      </c>
      <c r="B35" s="154" t="s">
        <v>83</v>
      </c>
      <c r="C35" t="s">
        <v>1551</v>
      </c>
      <c r="D35" s="154" t="s">
        <v>121</v>
      </c>
      <c r="E35" s="155" t="str" cm="1">
        <f t="array" aca="1" ref="E35" ca="1">IF(C35="", INDIRECT("'"&amp;A35&amp;"'!B3"), INDEX(INDIRECT("'"&amp;A35&amp;"'!5:5"), COLUMN(INDIRECT("'"&amp;A35&amp;"'!"&amp;C35))))</f>
        <v>Country Reference</v>
      </c>
      <c r="F35" s="155" cm="1">
        <f t="array" aca="1" ref="F35" ca="1">IF(C35="", "", INDEX(INDIRECT("'"&amp;A35&amp;"'!3:3"), COLUMN(INDIRECT("'"&amp;A35&amp;"'!"&amp;C35))))</f>
        <v>0</v>
      </c>
      <c r="G35" s="154" t="str" cm="1">
        <f t="array" aca="1" ref="G35" ca="1">IF(C35="", "", INDEX(INDIRECT("'"&amp;A35&amp;"'!8:8"), COLUMN(INDIRECT("'"&amp;A35&amp;"'!"&amp;C35))))</f>
        <v>LIST_AMLA_00005</v>
      </c>
      <c r="H35" s="154" t="str" cm="1">
        <f t="array" aca="1" ref="H35" ca="1">IF(C35="","",T(INDIRECT("'"&amp;A35&amp;"'!"&amp;ADDRESS(7, COLUMN(INDIRECT("'"&amp;A35&amp;"'!"&amp;C35))))))</f>
        <v/>
      </c>
      <c r="I35" s="154" t="str" cm="1">
        <f t="array" aca="1" ref="I35" ca="1">IF(C35="","",T(INDIRECT("'"&amp;A35&amp;"'!"&amp;ADDRESS(9, COLUMN(INDIRECT("'"&amp;A35&amp;"'!"&amp;C35))))))</f>
        <v/>
      </c>
    </row>
    <row r="36" spans="1:12" ht="15" customHeight="1">
      <c r="A36" s="154" t="s">
        <v>120</v>
      </c>
      <c r="B36" s="154" t="s">
        <v>84</v>
      </c>
      <c r="C36" t="s">
        <v>1552</v>
      </c>
      <c r="D36" s="154" t="s">
        <v>121</v>
      </c>
      <c r="E36" s="155" t="str" cm="1">
        <f t="array" aca="1" ref="E36" ca="1">IF(C36="", INDIRECT("'"&amp;A36&amp;"'!B3"), INDEX(INDIRECT("'"&amp;A36&amp;"'!5:5"), COLUMN(INDIRECT("'"&amp;A36&amp;"'!"&amp;C36))))</f>
        <v>Comment Content</v>
      </c>
      <c r="F36" s="155" cm="1">
        <f t="array" aca="1" ref="F36" ca="1">IF(C36="", "", INDEX(INDIRECT("'"&amp;A36&amp;"'!3:3"), COLUMN(INDIRECT("'"&amp;A36&amp;"'!"&amp;C36))))</f>
        <v>0</v>
      </c>
      <c r="G36" s="154" t="str" cm="1">
        <f t="array" aca="1" ref="G36" ca="1">IF(C36="", "", INDEX(INDIRECT("'"&amp;A36&amp;"'!8:8"), COLUMN(INDIRECT("'"&amp;A36&amp;"'!"&amp;C36))))</f>
        <v>Alphanumerical</v>
      </c>
      <c r="H36" s="154" t="str" cm="1">
        <f t="array" aca="1" ref="H36" ca="1">IF(C36="","",T(INDIRECT("'"&amp;A36&amp;"'!"&amp;ADDRESS(7, COLUMN(INDIRECT("'"&amp;A36&amp;"'!"&amp;C36))))))</f>
        <v/>
      </c>
      <c r="I36" s="154" t="str" cm="1">
        <f t="array" aca="1" ref="I36" ca="1">IF(C36="","",T(INDIRECT("'"&amp;A36&amp;"'!"&amp;ADDRESS(9, COLUMN(INDIRECT("'"&amp;A36&amp;"'!"&amp;C36))))))</f>
        <v/>
      </c>
    </row>
    <row r="37" spans="1:12" ht="15" customHeight="1">
      <c r="A37" s="154" t="s">
        <v>129</v>
      </c>
      <c r="E37" s="155" cm="1">
        <f t="array" aca="1" ref="E37" ca="1">IF(C37="", INDIRECT("'"&amp;A37&amp;"'!B3"), INDEX(INDIRECT("'"&amp;A37&amp;"'!5:5"), COLUMN(INDIRECT("'"&amp;A37&amp;"'!"&amp;C37))))</f>
        <v>0</v>
      </c>
      <c r="F37" s="155" t="str" cm="1">
        <f t="array" aca="1" ref="F37" ca="1">IF(C37="", "", INDEX(INDIRECT("'"&amp;A37&amp;"'!3:3"), COLUMN(INDIRECT("'"&amp;A37&amp;"'!"&amp;C37))))</f>
        <v/>
      </c>
      <c r="G37" s="154" t="str" cm="1">
        <f t="array" aca="1" ref="G37" ca="1">IF(C37="", "", INDEX(INDIRECT("'"&amp;A37&amp;"'!8:8"), COLUMN(INDIRECT("'"&amp;A37&amp;"'!"&amp;C37))))</f>
        <v/>
      </c>
      <c r="H37" s="154" t="str" cm="1">
        <f t="array" aca="1" ref="H37" ca="1">IF(C37="","",T(INDIRECT("'"&amp;A37&amp;"'!"&amp;ADDRESS(7, COLUMN(INDIRECT("'"&amp;A37&amp;"'!"&amp;C37))))))</f>
        <v/>
      </c>
      <c r="I37" s="154" t="str" cm="1">
        <f t="array" aca="1" ref="I37" ca="1">IF(C37="","",T(INDIRECT("'"&amp;A37&amp;"'!"&amp;ADDRESS(9, COLUMN(INDIRECT("'"&amp;A37&amp;"'!"&amp;C37))))))</f>
        <v/>
      </c>
    </row>
    <row r="38" spans="1:12" ht="15" customHeight="1">
      <c r="A38" s="154" t="s">
        <v>129</v>
      </c>
      <c r="B38" s="154" t="s">
        <v>81</v>
      </c>
      <c r="C38" t="s">
        <v>1549</v>
      </c>
      <c r="D38" s="154" t="s">
        <v>15</v>
      </c>
      <c r="E38" s="155" t="str" cm="1">
        <f t="array" aca="1" ref="E38" ca="1">IF(C38="", INDIRECT("'"&amp;A38&amp;"'!B3"), INDEX(INDIRECT("'"&amp;A38&amp;"'!5:5"), COLUMN(INDIRECT("'"&amp;A38&amp;"'!"&amp;C38))))</f>
        <v>Total Customers</v>
      </c>
      <c r="F38" s="155" cm="1">
        <f t="array" aca="1" ref="F38" ca="1">IF(C38="", "", INDEX(INDIRECT("'"&amp;A38&amp;"'!3:3"), COLUMN(INDIRECT("'"&amp;A38&amp;"'!"&amp;C38))))</f>
        <v>0</v>
      </c>
      <c r="G38" s="154" t="str" cm="1">
        <f t="array" aca="1" ref="G38" ca="1">IF(C38="", "", INDEX(INDIRECT("'"&amp;A38&amp;"'!8:8"), COLUMN(INDIRECT("'"&amp;A38&amp;"'!"&amp;C38))))</f>
        <v>Integer</v>
      </c>
      <c r="H38" s="154" t="str" cm="1">
        <f t="array" aca="1" ref="H38" ca="1">IF(C38="","",T(INDIRECT("'"&amp;A38&amp;"'!"&amp;ADDRESS(7, COLUMN(INDIRECT("'"&amp;A38&amp;"'!"&amp;C38))))))</f>
        <v>Stock</v>
      </c>
      <c r="I38" s="154" t="str" cm="1">
        <f t="array" aca="1" ref="I38" ca="1">IF(C38="","",T(INDIRECT("'"&amp;A38&amp;"'!"&amp;ADDRESS(9, COLUMN(INDIRECT("'"&amp;A38&amp;"'!"&amp;C38))))))</f>
        <v/>
      </c>
      <c r="J38" t="s">
        <v>1578</v>
      </c>
    </row>
    <row r="39" spans="1:12" ht="15" customHeight="1">
      <c r="A39" s="154" t="s">
        <v>129</v>
      </c>
      <c r="B39" s="154" t="s">
        <v>82</v>
      </c>
      <c r="C39" t="s">
        <v>1550</v>
      </c>
      <c r="D39" s="154" t="s">
        <v>15</v>
      </c>
      <c r="E39" s="155" t="str" cm="1">
        <f t="array" aca="1" ref="E39" ca="1">IF(C39="", INDIRECT("'"&amp;A39&amp;"'!B3"), INDEX(INDIRECT("'"&amp;A39&amp;"'!5:5"), COLUMN(INDIRECT("'"&amp;A39&amp;"'!"&amp;C39))))</f>
        <v>Natural Persons</v>
      </c>
      <c r="F39" s="155" cm="1">
        <f t="array" aca="1" ref="F39" ca="1">IF(C39="", "", INDEX(INDIRECT("'"&amp;A39&amp;"'!3:3"), COLUMN(INDIRECT("'"&amp;A39&amp;"'!"&amp;C39))))</f>
        <v>0</v>
      </c>
      <c r="G39" s="154" t="str" cm="1">
        <f t="array" aca="1" ref="G39" ca="1">IF(C39="", "", INDEX(INDIRECT("'"&amp;A39&amp;"'!8:8"), COLUMN(INDIRECT("'"&amp;A39&amp;"'!"&amp;C39))))</f>
        <v>Integer</v>
      </c>
      <c r="H39" s="154" t="str" cm="1">
        <f t="array" aca="1" ref="H39" ca="1">IF(C39="","",T(INDIRECT("'"&amp;A39&amp;"'!"&amp;ADDRESS(7, COLUMN(INDIRECT("'"&amp;A39&amp;"'!"&amp;C39))))))</f>
        <v>Stock</v>
      </c>
      <c r="I39" s="154" t="str" cm="1">
        <f t="array" aca="1" ref="I39" ca="1">IF(C39="","",T(INDIRECT("'"&amp;A39&amp;"'!"&amp;ADDRESS(9, COLUMN(INDIRECT("'"&amp;A39&amp;"'!"&amp;C39))))))</f>
        <v/>
      </c>
      <c r="J39" t="s">
        <v>1578</v>
      </c>
      <c r="K39" t="s">
        <v>1579</v>
      </c>
    </row>
    <row r="40" spans="1:12" ht="15" customHeight="1">
      <c r="A40" s="154" t="s">
        <v>129</v>
      </c>
      <c r="B40" s="154" t="s">
        <v>83</v>
      </c>
      <c r="C40" t="s">
        <v>1551</v>
      </c>
      <c r="D40" s="154" t="s">
        <v>15</v>
      </c>
      <c r="E40" s="155" t="str" cm="1">
        <f t="array" aca="1" ref="E40" ca="1">IF(C40="", INDIRECT("'"&amp;A40&amp;"'!B3"), INDEX(INDIRECT("'"&amp;A40&amp;"'!5:5"), COLUMN(INDIRECT("'"&amp;A40&amp;"'!"&amp;C40))))</f>
        <v>Legal Entities</v>
      </c>
      <c r="F40" s="155" cm="1">
        <f t="array" aca="1" ref="F40" ca="1">IF(C40="", "", INDEX(INDIRECT("'"&amp;A40&amp;"'!3:3"), COLUMN(INDIRECT("'"&amp;A40&amp;"'!"&amp;C40))))</f>
        <v>0</v>
      </c>
      <c r="G40" s="154" t="str" cm="1">
        <f t="array" aca="1" ref="G40" ca="1">IF(C40="", "", INDEX(INDIRECT("'"&amp;A40&amp;"'!8:8"), COLUMN(INDIRECT("'"&amp;A40&amp;"'!"&amp;C40))))</f>
        <v>Integer</v>
      </c>
      <c r="H40" s="154" t="str" cm="1">
        <f t="array" aca="1" ref="H40" ca="1">IF(C40="","",T(INDIRECT("'"&amp;A40&amp;"'!"&amp;ADDRESS(7, COLUMN(INDIRECT("'"&amp;A40&amp;"'!"&amp;C40))))))</f>
        <v>Stock</v>
      </c>
      <c r="I40" s="154" t="str" cm="1">
        <f t="array" aca="1" ref="I40" ca="1">IF(C40="","",T(INDIRECT("'"&amp;A40&amp;"'!"&amp;ADDRESS(9, COLUMN(INDIRECT("'"&amp;A40&amp;"'!"&amp;C40))))))</f>
        <v/>
      </c>
      <c r="J40" t="s">
        <v>1578</v>
      </c>
      <c r="K40" t="s">
        <v>1580</v>
      </c>
    </row>
    <row r="41" spans="1:12" ht="15" customHeight="1">
      <c r="A41" s="154" t="s">
        <v>129</v>
      </c>
      <c r="B41" s="154" t="s">
        <v>84</v>
      </c>
      <c r="C41" t="s">
        <v>1552</v>
      </c>
      <c r="D41" s="154" t="s">
        <v>15</v>
      </c>
      <c r="E41" s="155" t="str" cm="1">
        <f t="array" aca="1" ref="E41" ca="1">IF(C41="", INDIRECT("'"&amp;A41&amp;"'!B3"), INDEX(INDIRECT("'"&amp;A41&amp;"'!5:5"), COLUMN(INDIRECT("'"&amp;A41&amp;"'!"&amp;C41))))</f>
        <v>Natural Persons - PEPs, Family Members or Close Associates</v>
      </c>
      <c r="F41" s="155" cm="1">
        <f t="array" aca="1" ref="F41" ca="1">IF(C41="", "", INDEX(INDIRECT("'"&amp;A41&amp;"'!3:3"), COLUMN(INDIRECT("'"&amp;A41&amp;"'!"&amp;C41))))</f>
        <v>0</v>
      </c>
      <c r="G41" s="154" t="str" cm="1">
        <f t="array" aca="1" ref="G41" ca="1">IF(C41="", "", INDEX(INDIRECT("'"&amp;A41&amp;"'!8:8"), COLUMN(INDIRECT("'"&amp;A41&amp;"'!"&amp;C41))))</f>
        <v>Integer</v>
      </c>
      <c r="H41" s="154" t="str" cm="1">
        <f t="array" aca="1" ref="H41" ca="1">IF(C41="","",T(INDIRECT("'"&amp;A41&amp;"'!"&amp;ADDRESS(7, COLUMN(INDIRECT("'"&amp;A41&amp;"'!"&amp;C41))))))</f>
        <v>Stock</v>
      </c>
      <c r="I41" s="154" t="str" cm="1">
        <f t="array" aca="1" ref="I41" ca="1">IF(C41="","",T(INDIRECT("'"&amp;A41&amp;"'!"&amp;ADDRESS(9, COLUMN(INDIRECT("'"&amp;A41&amp;"'!"&amp;C41))))))</f>
        <v/>
      </c>
      <c r="J41" t="s">
        <v>1578</v>
      </c>
      <c r="K41" t="s">
        <v>1579</v>
      </c>
      <c r="L41" t="s">
        <v>1581</v>
      </c>
    </row>
    <row r="42" spans="1:12" ht="15" customHeight="1">
      <c r="A42" s="154" t="s">
        <v>129</v>
      </c>
      <c r="B42" s="154" t="s">
        <v>85</v>
      </c>
      <c r="C42" t="s">
        <v>1553</v>
      </c>
      <c r="D42" s="154" t="s">
        <v>15</v>
      </c>
      <c r="E42" s="155" t="str" cm="1">
        <f t="array" aca="1" ref="E42" ca="1">IF(C42="", INDIRECT("'"&amp;A42&amp;"'!B3"), INDEX(INDIRECT("'"&amp;A42&amp;"'!5:5"), COLUMN(INDIRECT("'"&amp;A42&amp;"'!"&amp;C42))))</f>
        <v>Legal Entities – PEPs, Family Members or Close Associates as BOs</v>
      </c>
      <c r="F42" s="155" cm="1">
        <f t="array" aca="1" ref="F42" ca="1">IF(C42="", "", INDEX(INDIRECT("'"&amp;A42&amp;"'!3:3"), COLUMN(INDIRECT("'"&amp;A42&amp;"'!"&amp;C42))))</f>
        <v>0</v>
      </c>
      <c r="G42" s="154" t="str" cm="1">
        <f t="array" aca="1" ref="G42" ca="1">IF(C42="", "", INDEX(INDIRECT("'"&amp;A42&amp;"'!8:8"), COLUMN(INDIRECT("'"&amp;A42&amp;"'!"&amp;C42))))</f>
        <v>Integer</v>
      </c>
      <c r="H42" s="154" t="str" cm="1">
        <f t="array" aca="1" ref="H42" ca="1">IF(C42="","",T(INDIRECT("'"&amp;A42&amp;"'!"&amp;ADDRESS(7, COLUMN(INDIRECT("'"&amp;A42&amp;"'!"&amp;C42))))))</f>
        <v>Stock</v>
      </c>
      <c r="I42" s="154" t="str" cm="1">
        <f t="array" aca="1" ref="I42" ca="1">IF(C42="","",T(INDIRECT("'"&amp;A42&amp;"'!"&amp;ADDRESS(9, COLUMN(INDIRECT("'"&amp;A42&amp;"'!"&amp;C42))))))</f>
        <v/>
      </c>
      <c r="J42" t="s">
        <v>1578</v>
      </c>
      <c r="K42" t="s">
        <v>1580</v>
      </c>
      <c r="L42" t="s">
        <v>1581</v>
      </c>
    </row>
    <row r="43" spans="1:12" ht="15" customHeight="1">
      <c r="A43" s="154" t="s">
        <v>129</v>
      </c>
      <c r="B43" s="154" t="s">
        <v>86</v>
      </c>
      <c r="C43" t="s">
        <v>1554</v>
      </c>
      <c r="D43" s="154" t="s">
        <v>15</v>
      </c>
      <c r="E43" s="155" t="str" cm="1">
        <f t="array" aca="1" ref="E43" ca="1">IF(C43="", INDIRECT("'"&amp;A43&amp;"'!B3"), INDEX(INDIRECT("'"&amp;A43&amp;"'!5:5"), COLUMN(INDIRECT("'"&amp;A43&amp;"'!"&amp;C43))))</f>
        <v>Active Customers</v>
      </c>
      <c r="F43" s="155" cm="1">
        <f t="array" aca="1" ref="F43" ca="1">IF(C43="", "", INDEX(INDIRECT("'"&amp;A43&amp;"'!3:3"), COLUMN(INDIRECT("'"&amp;A43&amp;"'!"&amp;C43))))</f>
        <v>0</v>
      </c>
      <c r="G43" s="154" t="str" cm="1">
        <f t="array" aca="1" ref="G43" ca="1">IF(C43="", "", INDEX(INDIRECT("'"&amp;A43&amp;"'!8:8"), COLUMN(INDIRECT("'"&amp;A43&amp;"'!"&amp;C43))))</f>
        <v>Integer</v>
      </c>
      <c r="H43" s="154" t="str" cm="1">
        <f t="array" aca="1" ref="H43" ca="1">IF(C43="","",T(INDIRECT("'"&amp;A43&amp;"'!"&amp;ADDRESS(7, COLUMN(INDIRECT("'"&amp;A43&amp;"'!"&amp;C43))))))</f>
        <v>Flow</v>
      </c>
      <c r="I43" s="154" t="str" cm="1">
        <f t="array" aca="1" ref="I43" ca="1">IF(C43="","",T(INDIRECT("'"&amp;A43&amp;"'!"&amp;ADDRESS(9, COLUMN(INDIRECT("'"&amp;A43&amp;"'!"&amp;C43))))))</f>
        <v/>
      </c>
      <c r="J43" t="s">
        <v>1578</v>
      </c>
      <c r="K43" t="s">
        <v>1582</v>
      </c>
      <c r="L43" t="s">
        <v>1583</v>
      </c>
    </row>
    <row r="44" spans="1:12" ht="15" customHeight="1">
      <c r="A44" s="154" t="s">
        <v>129</v>
      </c>
      <c r="B44" s="154" t="s">
        <v>87</v>
      </c>
      <c r="C44" t="s">
        <v>1555</v>
      </c>
      <c r="D44" s="154" t="s">
        <v>15</v>
      </c>
      <c r="E44" s="155" t="str" cm="1">
        <f t="array" aca="1" ref="E44" ca="1">IF(C44="", INDIRECT("'"&amp;A44&amp;"'!B3"), INDEX(INDIRECT("'"&amp;A44&amp;"'!5:5"), COLUMN(INDIRECT("'"&amp;A44&amp;"'!"&amp;C44))))</f>
        <v>New Customers</v>
      </c>
      <c r="F44" s="155" cm="1">
        <f t="array" aca="1" ref="F44" ca="1">IF(C44="", "", INDEX(INDIRECT("'"&amp;A44&amp;"'!3:3"), COLUMN(INDIRECT("'"&amp;A44&amp;"'!"&amp;C44))))</f>
        <v>0</v>
      </c>
      <c r="G44" s="154" t="str" cm="1">
        <f t="array" aca="1" ref="G44" ca="1">IF(C44="", "", INDEX(INDIRECT("'"&amp;A44&amp;"'!8:8"), COLUMN(INDIRECT("'"&amp;A44&amp;"'!"&amp;C44))))</f>
        <v>Integer</v>
      </c>
      <c r="H44" s="154" t="str" cm="1">
        <f t="array" aca="1" ref="H44" ca="1">IF(C44="","",T(INDIRECT("'"&amp;A44&amp;"'!"&amp;ADDRESS(7, COLUMN(INDIRECT("'"&amp;A44&amp;"'!"&amp;C44))))))</f>
        <v>Flow</v>
      </c>
      <c r="I44" s="154" t="str" cm="1">
        <f t="array" aca="1" ref="I44" ca="1">IF(C44="","",T(INDIRECT("'"&amp;A44&amp;"'!"&amp;ADDRESS(9, COLUMN(INDIRECT("'"&amp;A44&amp;"'!"&amp;C44))))))</f>
        <v/>
      </c>
      <c r="J44" t="s">
        <v>1584</v>
      </c>
      <c r="K44" t="s">
        <v>1582</v>
      </c>
    </row>
    <row r="45" spans="1:12" ht="15" customHeight="1">
      <c r="A45" s="154" t="s">
        <v>129</v>
      </c>
      <c r="B45" s="154" t="s">
        <v>88</v>
      </c>
      <c r="C45" t="s">
        <v>1556</v>
      </c>
      <c r="D45" s="154" t="s">
        <v>15</v>
      </c>
      <c r="E45" s="155" t="str" cm="1">
        <f t="array" aca="1" ref="E45" ca="1">IF(C45="", INDIRECT("'"&amp;A45&amp;"'!B3"), INDEX(INDIRECT("'"&amp;A45&amp;"'!5:5"), COLUMN(INDIRECT("'"&amp;A45&amp;"'!"&amp;C45))))</f>
        <v>New Customers - Remote Onboarding</v>
      </c>
      <c r="F45" s="155" cm="1">
        <f t="array" aca="1" ref="F45" ca="1">IF(C45="", "", INDEX(INDIRECT("'"&amp;A45&amp;"'!3:3"), COLUMN(INDIRECT("'"&amp;A45&amp;"'!"&amp;C45))))</f>
        <v>0</v>
      </c>
      <c r="G45" s="154" t="str" cm="1">
        <f t="array" aca="1" ref="G45" ca="1">IF(C45="", "", INDEX(INDIRECT("'"&amp;A45&amp;"'!8:8"), COLUMN(INDIRECT("'"&amp;A45&amp;"'!"&amp;C45))))</f>
        <v>Integer</v>
      </c>
      <c r="H45" s="154" t="str" cm="1">
        <f t="array" aca="1" ref="H45" ca="1">IF(C45="","",T(INDIRECT("'"&amp;A45&amp;"'!"&amp;ADDRESS(7, COLUMN(INDIRECT("'"&amp;A45&amp;"'!"&amp;C45))))))</f>
        <v>Flow</v>
      </c>
      <c r="I45" s="154" t="str" cm="1">
        <f t="array" aca="1" ref="I45" ca="1">IF(C45="","",T(INDIRECT("'"&amp;A45&amp;"'!"&amp;ADDRESS(9, COLUMN(INDIRECT("'"&amp;A45&amp;"'!"&amp;C45))))))</f>
        <v/>
      </c>
      <c r="J45" t="s">
        <v>1578</v>
      </c>
      <c r="K45" t="s">
        <v>1585</v>
      </c>
    </row>
    <row r="46" spans="1:12" ht="15" customHeight="1">
      <c r="A46" s="154" t="s">
        <v>129</v>
      </c>
      <c r="B46" s="154" t="s">
        <v>89</v>
      </c>
      <c r="C46" t="s">
        <v>1557</v>
      </c>
      <c r="D46" s="154" t="s">
        <v>15</v>
      </c>
      <c r="E46" s="155" t="str" cm="1">
        <f t="array" aca="1" ref="E46" ca="1">IF(C46="", INDIRECT("'"&amp;A46&amp;"'!B3"), INDEX(INDIRECT("'"&amp;A46&amp;"'!5:5"), COLUMN(INDIRECT("'"&amp;A46&amp;"'!"&amp;C46))))</f>
        <v>New Customers - Third Party Onboarding</v>
      </c>
      <c r="F46" s="155" cm="1">
        <f t="array" aca="1" ref="F46" ca="1">IF(C46="", "", INDEX(INDIRECT("'"&amp;A46&amp;"'!3:3"), COLUMN(INDIRECT("'"&amp;A46&amp;"'!"&amp;C46))))</f>
        <v>0</v>
      </c>
      <c r="G46" s="154" t="str" cm="1">
        <f t="array" aca="1" ref="G46" ca="1">IF(C46="", "", INDEX(INDIRECT("'"&amp;A46&amp;"'!8:8"), COLUMN(INDIRECT("'"&amp;A46&amp;"'!"&amp;C46))))</f>
        <v>Integer</v>
      </c>
      <c r="H46" s="154" t="str" cm="1">
        <f t="array" aca="1" ref="H46" ca="1">IF(C46="","",T(INDIRECT("'"&amp;A46&amp;"'!"&amp;ADDRESS(7, COLUMN(INDIRECT("'"&amp;A46&amp;"'!"&amp;C46))))))</f>
        <v>Flow</v>
      </c>
      <c r="I46" s="154" t="str" cm="1">
        <f t="array" aca="1" ref="I46" ca="1">IF(C46="","",T(INDIRECT("'"&amp;A46&amp;"'!"&amp;ADDRESS(9, COLUMN(INDIRECT("'"&amp;A46&amp;"'!"&amp;C46))))))</f>
        <v/>
      </c>
      <c r="J46" t="s">
        <v>1578</v>
      </c>
      <c r="K46" t="s">
        <v>1586</v>
      </c>
    </row>
    <row r="47" spans="1:12" ht="15" customHeight="1">
      <c r="A47" s="154" t="s">
        <v>129</v>
      </c>
      <c r="B47" s="154" t="s">
        <v>90</v>
      </c>
      <c r="C47" t="s">
        <v>1558</v>
      </c>
      <c r="D47" s="154" t="s">
        <v>15</v>
      </c>
      <c r="E47" s="155" t="str" cm="1">
        <f t="array" aca="1" ref="E47" ca="1">IF(C47="", INDIRECT("'"&amp;A47&amp;"'!B3"), INDEX(INDIRECT("'"&amp;A47&amp;"'!5:5"), COLUMN(INDIRECT("'"&amp;A47&amp;"'!"&amp;C47))))</f>
        <v>New Customers - Third Party Onboarding (Non-supervised)</v>
      </c>
      <c r="F47" s="155" cm="1">
        <f t="array" aca="1" ref="F47" ca="1">IF(C47="", "", INDEX(INDIRECT("'"&amp;A47&amp;"'!3:3"), COLUMN(INDIRECT("'"&amp;A47&amp;"'!"&amp;C47))))</f>
        <v>0</v>
      </c>
      <c r="G47" s="154" t="str" cm="1">
        <f t="array" aca="1" ref="G47" ca="1">IF(C47="", "", INDEX(INDIRECT("'"&amp;A47&amp;"'!8:8"), COLUMN(INDIRECT("'"&amp;A47&amp;"'!"&amp;C47))))</f>
        <v>Integer</v>
      </c>
      <c r="H47" s="154" t="str" cm="1">
        <f t="array" aca="1" ref="H47" ca="1">IF(C47="","",T(INDIRECT("'"&amp;A47&amp;"'!"&amp;ADDRESS(7, COLUMN(INDIRECT("'"&amp;A47&amp;"'!"&amp;C47))))))</f>
        <v>Flow</v>
      </c>
      <c r="I47" s="154" t="str" cm="1">
        <f t="array" aca="1" ref="I47" ca="1">IF(C47="","",T(INDIRECT("'"&amp;A47&amp;"'!"&amp;ADDRESS(9, COLUMN(INDIRECT("'"&amp;A47&amp;"'!"&amp;C47))))))</f>
        <v/>
      </c>
      <c r="J47" t="s">
        <v>1578</v>
      </c>
      <c r="K47" t="s">
        <v>1580</v>
      </c>
      <c r="L47" t="s">
        <v>1587</v>
      </c>
    </row>
    <row r="48" spans="1:12" ht="15" customHeight="1">
      <c r="A48" s="154" t="s">
        <v>129</v>
      </c>
      <c r="B48" s="154" t="s">
        <v>91</v>
      </c>
      <c r="C48" t="s">
        <v>1559</v>
      </c>
      <c r="D48" s="154" t="s">
        <v>15</v>
      </c>
      <c r="E48" s="155" t="str" cm="1">
        <f t="array" aca="1" ref="E48" ca="1">IF(C48="", INDIRECT("'"&amp;A48&amp;"'!B3"), INDEX(INDIRECT("'"&amp;A48&amp;"'!5:5"), COLUMN(INDIRECT("'"&amp;A48&amp;"'!"&amp;C48))))</f>
        <v>Legal Entities - Complex Structure</v>
      </c>
      <c r="F48" s="155" cm="1">
        <f t="array" aca="1" ref="F48" ca="1">IF(C48="", "", INDEX(INDIRECT("'"&amp;A48&amp;"'!3:3"), COLUMN(INDIRECT("'"&amp;A48&amp;"'!"&amp;C48))))</f>
        <v>0</v>
      </c>
      <c r="G48" s="154" t="str" cm="1">
        <f t="array" aca="1" ref="G48" ca="1">IF(C48="", "", INDEX(INDIRECT("'"&amp;A48&amp;"'!8:8"), COLUMN(INDIRECT("'"&amp;A48&amp;"'!"&amp;C48))))</f>
        <v>Integer</v>
      </c>
      <c r="H48" s="154" t="str" cm="1">
        <f t="array" aca="1" ref="H48" ca="1">IF(C48="","",T(INDIRECT("'"&amp;A48&amp;"'!"&amp;ADDRESS(7, COLUMN(INDIRECT("'"&amp;A48&amp;"'!"&amp;C48))))))</f>
        <v>Stock</v>
      </c>
      <c r="I48" s="154" t="str" cm="1">
        <f t="array" aca="1" ref="I48" ca="1">IF(C48="","",T(INDIRECT("'"&amp;A48&amp;"'!"&amp;ADDRESS(9, COLUMN(INDIRECT("'"&amp;A48&amp;"'!"&amp;C48))))))</f>
        <v/>
      </c>
      <c r="J48" t="s">
        <v>1578</v>
      </c>
      <c r="K48" t="s">
        <v>1588</v>
      </c>
    </row>
    <row r="49" spans="1:13" ht="15" customHeight="1">
      <c r="A49" s="154" t="s">
        <v>129</v>
      </c>
      <c r="B49" s="154" t="s">
        <v>92</v>
      </c>
      <c r="C49" t="s">
        <v>1560</v>
      </c>
      <c r="D49" s="154" t="s">
        <v>15</v>
      </c>
      <c r="E49" s="155" t="str" cm="1">
        <f t="array" aca="1" ref="E49" ca="1">IF(C49="", INDIRECT("'"&amp;A49&amp;"'!B3"), INDEX(INDIRECT("'"&amp;A49&amp;"'!5:5"), COLUMN(INDIRECT("'"&amp;A49&amp;"'!"&amp;C49))))</f>
        <v>Customers with high-risk activities</v>
      </c>
      <c r="F49" s="155" cm="1">
        <f t="array" aca="1" ref="F49" ca="1">IF(C49="", "", INDEX(INDIRECT("'"&amp;A49&amp;"'!3:3"), COLUMN(INDIRECT("'"&amp;A49&amp;"'!"&amp;C49))))</f>
        <v>0</v>
      </c>
      <c r="G49" s="154" t="str" cm="1">
        <f t="array" aca="1" ref="G49" ca="1">IF(C49="", "", INDEX(INDIRECT("'"&amp;A49&amp;"'!8:8"), COLUMN(INDIRECT("'"&amp;A49&amp;"'!"&amp;C49))))</f>
        <v>Integer</v>
      </c>
      <c r="H49" s="154" t="str" cm="1">
        <f t="array" aca="1" ref="H49" ca="1">IF(C49="","",T(INDIRECT("'"&amp;A49&amp;"'!"&amp;ADDRESS(7, COLUMN(INDIRECT("'"&amp;A49&amp;"'!"&amp;C49))))))</f>
        <v>Flow</v>
      </c>
      <c r="I49" s="154" t="str" cm="1">
        <f t="array" aca="1" ref="I49" ca="1">IF(C49="","",T(INDIRECT("'"&amp;A49&amp;"'!"&amp;ADDRESS(9, COLUMN(INDIRECT("'"&amp;A49&amp;"'!"&amp;C49))))))</f>
        <v/>
      </c>
      <c r="J49" t="s">
        <v>1578</v>
      </c>
      <c r="K49" t="s">
        <v>1589</v>
      </c>
    </row>
    <row r="50" spans="1:13" ht="15" customHeight="1">
      <c r="A50" s="154" t="s">
        <v>129</v>
      </c>
      <c r="B50" s="154" t="s">
        <v>93</v>
      </c>
      <c r="C50" t="s">
        <v>1561</v>
      </c>
      <c r="D50" s="154" t="s">
        <v>15</v>
      </c>
      <c r="E50" s="155" t="str" cm="1">
        <f t="array" aca="1" ref="E50" ca="1">IF(C50="", INDIRECT("'"&amp;A50&amp;"'!B3"), INDEX(INDIRECT("'"&amp;A50&amp;"'!5:5"), COLUMN(INDIRECT("'"&amp;A50&amp;"'!"&amp;C50))))</f>
        <v>Legal entities with at least 1 Beneficial Owner resident in non-EEA countries</v>
      </c>
      <c r="F50" s="155" cm="1">
        <f t="array" aca="1" ref="F50" ca="1">IF(C50="", "", INDEX(INDIRECT("'"&amp;A50&amp;"'!3:3"), COLUMN(INDIRECT("'"&amp;A50&amp;"'!"&amp;C50))))</f>
        <v>0</v>
      </c>
      <c r="G50" s="154" t="str" cm="1">
        <f t="array" aca="1" ref="G50" ca="1">IF(C50="", "", INDEX(INDIRECT("'"&amp;A50&amp;"'!8:8"), COLUMN(INDIRECT("'"&amp;A50&amp;"'!"&amp;C50))))</f>
        <v>Integer</v>
      </c>
      <c r="H50" s="154" t="str" cm="1">
        <f t="array" aca="1" ref="H50" ca="1">IF(C50="","",T(INDIRECT("'"&amp;A50&amp;"'!"&amp;ADDRESS(7, COLUMN(INDIRECT("'"&amp;A50&amp;"'!"&amp;C50))))))</f>
        <v>Stock</v>
      </c>
      <c r="I50" s="154" t="str" cm="1">
        <f t="array" aca="1" ref="I50" ca="1">IF(C50="","",T(INDIRECT("'"&amp;A50&amp;"'!"&amp;ADDRESS(9, COLUMN(INDIRECT("'"&amp;A50&amp;"'!"&amp;C50))))))</f>
        <v/>
      </c>
      <c r="J50" t="s">
        <v>1590</v>
      </c>
      <c r="K50" t="s">
        <v>1589</v>
      </c>
    </row>
    <row r="51" spans="1:13" ht="15" customHeight="1">
      <c r="A51" s="154" t="s">
        <v>129</v>
      </c>
      <c r="B51" s="154" t="s">
        <v>94</v>
      </c>
      <c r="C51" t="s">
        <v>1562</v>
      </c>
      <c r="D51" s="154" t="s">
        <v>15</v>
      </c>
      <c r="E51" s="155" t="str" cm="1">
        <f t="array" aca="1" ref="E51" ca="1">IF(C51="", INDIRECT("'"&amp;A51&amp;"'!B3"), INDEX(INDIRECT("'"&amp;A51&amp;"'!5:5"), COLUMN(INDIRECT("'"&amp;A51&amp;"'!"&amp;C51))))</f>
        <v>Customers with cross border Transactions - Non-EEA</v>
      </c>
      <c r="F51" s="155" t="str" cm="1">
        <f t="array" aca="1" ref="F51" ca="1">IF(C51="", "", INDEX(INDIRECT("'"&amp;A51&amp;"'!3:3"), COLUMN(INDIRECT("'"&amp;A51&amp;"'!"&amp;C51))))</f>
        <v/>
      </c>
      <c r="G51" s="154" t="str" cm="1">
        <f t="array" aca="1" ref="G51" ca="1">IF(C51="", "", INDEX(INDIRECT("'"&amp;A51&amp;"'!8:8"), COLUMN(INDIRECT("'"&amp;A51&amp;"'!"&amp;C51))))</f>
        <v>Integer</v>
      </c>
      <c r="H51" s="154" t="str" cm="1">
        <f t="array" aca="1" ref="H51" ca="1">IF(C51="","",T(INDIRECT("'"&amp;A51&amp;"'!"&amp;ADDRESS(7, COLUMN(INDIRECT("'"&amp;A51&amp;"'!"&amp;C51))))))</f>
        <v>Flow</v>
      </c>
      <c r="I51" s="154" t="str" cm="1">
        <f t="array" aca="1" ref="I51" ca="1">IF(C51="","",T(INDIRECT("'"&amp;A51&amp;"'!"&amp;ADDRESS(9, COLUMN(INDIRECT("'"&amp;A51&amp;"'!"&amp;C51))))))</f>
        <v/>
      </c>
      <c r="J51" t="s">
        <v>1578</v>
      </c>
      <c r="K51" t="s">
        <v>1591</v>
      </c>
    </row>
    <row r="52" spans="1:13" ht="15" customHeight="1">
      <c r="A52" t="s">
        <v>129</v>
      </c>
      <c r="B52" t="s">
        <v>95</v>
      </c>
      <c r="C52" t="s">
        <v>1563</v>
      </c>
      <c r="D52" s="154" t="s">
        <v>15</v>
      </c>
      <c r="E52" s="155" t="str" cm="1">
        <f t="array" aca="1" ref="E52" ca="1">IF(C52="", INDIRECT("'"&amp;A52&amp;"'!B3"), INDEX(INDIRECT("'"&amp;A52&amp;"'!5:5"), COLUMN(INDIRECT("'"&amp;A52&amp;"'!"&amp;C52))))</f>
        <v>‘Walk-in customers’ with occasional transactions</v>
      </c>
      <c r="F52" s="155" cm="1">
        <f t="array" aca="1" ref="F52" ca="1">IF(C52="", "", INDEX(INDIRECT("'"&amp;A52&amp;"'!3:3"), COLUMN(INDIRECT("'"&amp;A52&amp;"'!"&amp;C52))))</f>
        <v>0</v>
      </c>
      <c r="G52" s="154" t="str" cm="1">
        <f t="array" aca="1" ref="G52" ca="1">IF(C52="", "", INDEX(INDIRECT("'"&amp;A52&amp;"'!8:8"), COLUMN(INDIRECT("'"&amp;A52&amp;"'!"&amp;C52))))</f>
        <v>Integer</v>
      </c>
      <c r="H52" s="154" t="str" cm="1">
        <f t="array" aca="1" ref="H52" ca="1">IF(C52="","",T(INDIRECT("'"&amp;A52&amp;"'!"&amp;ADDRESS(7, COLUMN(INDIRECT("'"&amp;A52&amp;"'!"&amp;C52))))))</f>
        <v>Flow</v>
      </c>
    </row>
    <row r="53" spans="1:13" ht="15" customHeight="1">
      <c r="A53" t="s">
        <v>129</v>
      </c>
      <c r="B53" t="s">
        <v>96</v>
      </c>
      <c r="C53" t="s">
        <v>1564</v>
      </c>
      <c r="D53" s="154" t="s">
        <v>15</v>
      </c>
      <c r="E53" s="155" t="str" cm="1">
        <f t="array" aca="1" ref="E53" ca="1">IF(C53="", INDIRECT("'"&amp;A53&amp;"'!B3"), INDEX(INDIRECT("'"&amp;A53&amp;"'!5:5"), COLUMN(INDIRECT("'"&amp;A53&amp;"'!"&amp;C53))))</f>
        <v>Occasional Transactions carried out by ‘Walk-in customers’</v>
      </c>
      <c r="F53" s="155" cm="1">
        <f t="array" aca="1" ref="F53" ca="1">IF(C53="", "", INDEX(INDIRECT("'"&amp;A53&amp;"'!3:3"), COLUMN(INDIRECT("'"&amp;A53&amp;"'!"&amp;C53))))</f>
        <v>0</v>
      </c>
      <c r="G53" s="154" t="str" cm="1">
        <f t="array" aca="1" ref="G53" ca="1">IF(C53="", "", INDEX(INDIRECT("'"&amp;A53&amp;"'!8:8"), COLUMN(INDIRECT("'"&amp;A53&amp;"'!"&amp;C53))))</f>
        <v>Integer</v>
      </c>
      <c r="H53" s="154" t="str" cm="1">
        <f t="array" aca="1" ref="H53" ca="1">IF(C53="","",T(INDIRECT("'"&amp;A53&amp;"'!"&amp;ADDRESS(7, COLUMN(INDIRECT("'"&amp;A53&amp;"'!"&amp;C53))))))</f>
        <v>Flow</v>
      </c>
    </row>
    <row r="54" spans="1:13" ht="15" customHeight="1">
      <c r="A54" t="s">
        <v>129</v>
      </c>
      <c r="B54" t="s">
        <v>97</v>
      </c>
      <c r="C54" t="s">
        <v>1565</v>
      </c>
      <c r="D54" s="154" t="s">
        <v>15</v>
      </c>
      <c r="E54" s="155" t="str" cm="1">
        <f t="array" aca="1" ref="E54" ca="1">IF(C54="", INDIRECT("'"&amp;A54&amp;"'!B3"), INDEX(INDIRECT("'"&amp;A54&amp;"'!5:5"), COLUMN(INDIRECT("'"&amp;A54&amp;"'!"&amp;C54))))</f>
        <v>Customers with requests from FIU</v>
      </c>
      <c r="F54" s="155" cm="1">
        <f t="array" aca="1" ref="F54" ca="1">IF(C54="", "", INDEX(INDIRECT("'"&amp;A54&amp;"'!3:3"), COLUMN(INDIRECT("'"&amp;A54&amp;"'!"&amp;C54))))</f>
        <v>0</v>
      </c>
      <c r="G54" s="154" t="str" cm="1">
        <f t="array" aca="1" ref="G54" ca="1">IF(C54="", "", INDEX(INDIRECT("'"&amp;A54&amp;"'!8:8"), COLUMN(INDIRECT("'"&amp;A54&amp;"'!"&amp;C54))))</f>
        <v>Integer</v>
      </c>
      <c r="H54" s="154" t="str" cm="1">
        <f t="array" aca="1" ref="H54" ca="1">IF(C54="","",T(INDIRECT("'"&amp;A54&amp;"'!"&amp;ADDRESS(7, COLUMN(INDIRECT("'"&amp;A54&amp;"'!"&amp;C54))))))</f>
        <v>Flow</v>
      </c>
    </row>
    <row r="55" spans="1:13" ht="15" customHeight="1">
      <c r="A55" s="154" t="s">
        <v>152</v>
      </c>
      <c r="E55" s="155" cm="1">
        <f t="array" aca="1" ref="E55" ca="1">IF(C55="", INDIRECT("'"&amp;A55&amp;"'!B3"), INDEX(INDIRECT("'"&amp;A55&amp;"'!5:5"), COLUMN(INDIRECT("'"&amp;A55&amp;"'!"&amp;C55))))</f>
        <v>0</v>
      </c>
      <c r="F55" s="155" t="str" cm="1">
        <f t="array" aca="1" ref="F55" ca="1">IF(C55="", "", INDEX(INDIRECT("'"&amp;A55&amp;"'!3:3"), COLUMN(INDIRECT("'"&amp;A55&amp;"'!"&amp;C55))))</f>
        <v/>
      </c>
      <c r="G55" s="154" t="str" cm="1">
        <f t="array" aca="1" ref="G55" ca="1">IF(C55="", "", INDEX(INDIRECT("'"&amp;A55&amp;"'!8:8"), COLUMN(INDIRECT("'"&amp;A55&amp;"'!"&amp;C55))))</f>
        <v/>
      </c>
      <c r="H55" s="154" t="str" cm="1">
        <f t="array" aca="1" ref="H55" ca="1">IF(C55="","",T(INDIRECT("'"&amp;A55&amp;"'!"&amp;ADDRESS(7, COLUMN(INDIRECT("'"&amp;A55&amp;"'!"&amp;C55))))))</f>
        <v/>
      </c>
      <c r="I55" s="154" t="str" cm="1">
        <f t="array" aca="1" ref="I55" ca="1">IF(C55="","",T(INDIRECT("'"&amp;A55&amp;"'!"&amp;ADDRESS(9, COLUMN(INDIRECT("'"&amp;A55&amp;"'!"&amp;C55))))))</f>
        <v/>
      </c>
    </row>
    <row r="56" spans="1:13" ht="15" customHeight="1">
      <c r="A56" s="154" t="s">
        <v>152</v>
      </c>
      <c r="B56" s="154" t="s">
        <v>81</v>
      </c>
      <c r="C56" t="s">
        <v>1549</v>
      </c>
      <c r="D56" s="154" t="s">
        <v>59</v>
      </c>
      <c r="E56" s="155" t="str" cm="1">
        <f t="array" aca="1" ref="E56" ca="1">IF(C56="", INDIRECT("'"&amp;A56&amp;"'!B3"), INDEX(INDIRECT("'"&amp;A56&amp;"'!5:5"), COLUMN(INDIRECT("'"&amp;A56&amp;"'!"&amp;C56))))</f>
        <v>Payment Accounts</v>
      </c>
      <c r="F56" s="155" cm="1">
        <f t="array" aca="1" ref="F56" ca="1">IF(C56="", "", INDEX(INDIRECT("'"&amp;A56&amp;"'!3:3"), COLUMN(INDIRECT("'"&amp;A56&amp;"'!"&amp;C56))))</f>
        <v>0</v>
      </c>
      <c r="G56" s="154" t="str" cm="1">
        <f t="array" aca="1" ref="G56" ca="1">IF(C56="", "", INDEX(INDIRECT("'"&amp;A56&amp;"'!8:8"), COLUMN(INDIRECT("'"&amp;A56&amp;"'!"&amp;C56))))</f>
        <v>Integer</v>
      </c>
      <c r="H56" s="154" t="str" cm="1">
        <f t="array" aca="1" ref="H56" ca="1">IF(C56="","",T(INDIRECT("'"&amp;A56&amp;"'!"&amp;ADDRESS(7, COLUMN(INDIRECT("'"&amp;A56&amp;"'!"&amp;C56))))))</f>
        <v>Stock</v>
      </c>
      <c r="I56" s="154" t="str" cm="1">
        <f t="array" aca="1" ref="I56" ca="1">IF(C56="","",T(INDIRECT("'"&amp;A56&amp;"'!"&amp;ADDRESS(9, COLUMN(INDIRECT("'"&amp;A56&amp;"'!"&amp;C56))))))</f>
        <v/>
      </c>
      <c r="J56" t="s">
        <v>1592</v>
      </c>
      <c r="K56" t="s">
        <v>1593</v>
      </c>
    </row>
    <row r="57" spans="1:13" ht="15" customHeight="1">
      <c r="A57" s="154" t="s">
        <v>152</v>
      </c>
      <c r="B57" s="154" t="s">
        <v>82</v>
      </c>
      <c r="C57" t="s">
        <v>1550</v>
      </c>
      <c r="D57" s="154" t="s">
        <v>59</v>
      </c>
      <c r="E57" s="155" t="str" cm="1">
        <f t="array" aca="1" ref="E57" ca="1">IF(C57="", INDIRECT("'"&amp;A57&amp;"'!B3"), INDEX(INDIRECT("'"&amp;A57&amp;"'!5:5"), COLUMN(INDIRECT("'"&amp;A57&amp;"'!"&amp;C57))))</f>
        <v>Incoming Transactions - Value</v>
      </c>
      <c r="F57" s="155" cm="1">
        <f t="array" aca="1" ref="F57" ca="1">IF(C57="", "", INDEX(INDIRECT("'"&amp;A57&amp;"'!3:3"), COLUMN(INDIRECT("'"&amp;A57&amp;"'!"&amp;C57))))</f>
        <v>0</v>
      </c>
      <c r="G57" s="154" t="str" cm="1">
        <f t="array" aca="1" ref="G57" ca="1">IF(C57="", "", INDEX(INDIRECT("'"&amp;A57&amp;"'!8:8"), COLUMN(INDIRECT("'"&amp;A57&amp;"'!"&amp;C57))))</f>
        <v>Monetary</v>
      </c>
      <c r="H57" s="154" t="str" cm="1">
        <f t="array" aca="1" ref="H57" ca="1">IF(C57="","",T(INDIRECT("'"&amp;A57&amp;"'!"&amp;ADDRESS(7, COLUMN(INDIRECT("'"&amp;A57&amp;"'!"&amp;C57))))))</f>
        <v>Flow</v>
      </c>
      <c r="I57" s="154" t="str" cm="1">
        <f t="array" aca="1" ref="I57" ca="1">IF(C57="","",T(INDIRECT("'"&amp;A57&amp;"'!"&amp;ADDRESS(9, COLUMN(INDIRECT("'"&amp;A57&amp;"'!"&amp;C57))))))</f>
        <v/>
      </c>
      <c r="J57" t="s">
        <v>1594</v>
      </c>
      <c r="K57" t="s">
        <v>1593</v>
      </c>
      <c r="L57" t="s">
        <v>1582</v>
      </c>
      <c r="M57" t="s">
        <v>1595</v>
      </c>
    </row>
    <row r="58" spans="1:13" ht="15" customHeight="1">
      <c r="A58" s="154" t="s">
        <v>152</v>
      </c>
      <c r="B58" s="154" t="s">
        <v>83</v>
      </c>
      <c r="C58" t="s">
        <v>1551</v>
      </c>
      <c r="D58" s="154" t="s">
        <v>59</v>
      </c>
      <c r="E58" s="155" t="str" cm="1">
        <f t="array" aca="1" ref="E58" ca="1">IF(C58="", INDIRECT("'"&amp;A58&amp;"'!B3"), INDEX(INDIRECT("'"&amp;A58&amp;"'!5:5"), COLUMN(INDIRECT("'"&amp;A58&amp;"'!"&amp;C58))))</f>
        <v>Incoming Transactions - Number</v>
      </c>
      <c r="F58" s="155" cm="1">
        <f t="array" aca="1" ref="F58" ca="1">IF(C58="", "", INDEX(INDIRECT("'"&amp;A58&amp;"'!3:3"), COLUMN(INDIRECT("'"&amp;A58&amp;"'!"&amp;C58))))</f>
        <v>0</v>
      </c>
      <c r="G58" s="154" t="str" cm="1">
        <f t="array" aca="1" ref="G58" ca="1">IF(C58="", "", INDEX(INDIRECT("'"&amp;A58&amp;"'!8:8"), COLUMN(INDIRECT("'"&amp;A58&amp;"'!"&amp;C58))))</f>
        <v>Integer</v>
      </c>
      <c r="H58" s="154" t="str" cm="1">
        <f t="array" aca="1" ref="H58" ca="1">IF(C58="","",T(INDIRECT("'"&amp;A58&amp;"'!"&amp;ADDRESS(7, COLUMN(INDIRECT("'"&amp;A58&amp;"'!"&amp;C58))))))</f>
        <v>Flow</v>
      </c>
      <c r="I58" s="154" t="str" cm="1">
        <f t="array" aca="1" ref="I58" ca="1">IF(C58="","",T(INDIRECT("'"&amp;A58&amp;"'!"&amp;ADDRESS(9, COLUMN(INDIRECT("'"&amp;A58&amp;"'!"&amp;C58))))))</f>
        <v/>
      </c>
      <c r="J58" t="s">
        <v>1596</v>
      </c>
      <c r="K58" t="s">
        <v>1593</v>
      </c>
      <c r="L58" t="s">
        <v>1582</v>
      </c>
      <c r="M58" t="s">
        <v>1595</v>
      </c>
    </row>
    <row r="59" spans="1:13" ht="15" customHeight="1">
      <c r="A59" s="154" t="s">
        <v>152</v>
      </c>
      <c r="B59" s="154" t="s">
        <v>84</v>
      </c>
      <c r="C59" t="s">
        <v>1552</v>
      </c>
      <c r="D59" s="154" t="s">
        <v>59</v>
      </c>
      <c r="E59" s="155" t="str" cm="1">
        <f t="array" aca="1" ref="E59" ca="1">IF(C59="", INDIRECT("'"&amp;A59&amp;"'!B3"), INDEX(INDIRECT("'"&amp;A59&amp;"'!5:5"), COLUMN(INDIRECT("'"&amp;A59&amp;"'!"&amp;C59))))</f>
        <v>Outgoing Transactions - Value</v>
      </c>
      <c r="F59" s="155" cm="1">
        <f t="array" aca="1" ref="F59" ca="1">IF(C59="", "", INDEX(INDIRECT("'"&amp;A59&amp;"'!3:3"), COLUMN(INDIRECT("'"&amp;A59&amp;"'!"&amp;C59))))</f>
        <v>0</v>
      </c>
      <c r="G59" s="154" t="str" cm="1">
        <f t="array" aca="1" ref="G59" ca="1">IF(C59="", "", INDEX(INDIRECT("'"&amp;A59&amp;"'!8:8"), COLUMN(INDIRECT("'"&amp;A59&amp;"'!"&amp;C59))))</f>
        <v>Monetary</v>
      </c>
      <c r="H59" s="154" t="str" cm="1">
        <f t="array" aca="1" ref="H59" ca="1">IF(C59="","",T(INDIRECT("'"&amp;A59&amp;"'!"&amp;ADDRESS(7, COLUMN(INDIRECT("'"&amp;A59&amp;"'!"&amp;C59))))))</f>
        <v>Flow</v>
      </c>
      <c r="I59" s="154" t="str" cm="1">
        <f t="array" aca="1" ref="I59" ca="1">IF(C59="","",T(INDIRECT("'"&amp;A59&amp;"'!"&amp;ADDRESS(9, COLUMN(INDIRECT("'"&amp;A59&amp;"'!"&amp;C59))))))</f>
        <v/>
      </c>
      <c r="J59" t="s">
        <v>1594</v>
      </c>
      <c r="K59" t="s">
        <v>1593</v>
      </c>
      <c r="L59" t="s">
        <v>1582</v>
      </c>
      <c r="M59" t="s">
        <v>1597</v>
      </c>
    </row>
    <row r="60" spans="1:13" ht="15" customHeight="1">
      <c r="A60" s="154" t="s">
        <v>152</v>
      </c>
      <c r="B60" s="154" t="s">
        <v>85</v>
      </c>
      <c r="C60" t="s">
        <v>1553</v>
      </c>
      <c r="D60" s="154" t="s">
        <v>59</v>
      </c>
      <c r="E60" s="155" t="str" cm="1">
        <f t="array" aca="1" ref="E60" ca="1">IF(C60="", INDIRECT("'"&amp;A60&amp;"'!B3"), INDEX(INDIRECT("'"&amp;A60&amp;"'!5:5"), COLUMN(INDIRECT("'"&amp;A60&amp;"'!"&amp;C60))))</f>
        <v>Outgoing Transactions - Number</v>
      </c>
      <c r="F60" s="155" cm="1">
        <f t="array" aca="1" ref="F60" ca="1">IF(C60="", "", INDEX(INDIRECT("'"&amp;A60&amp;"'!3:3"), COLUMN(INDIRECT("'"&amp;A60&amp;"'!"&amp;C60))))</f>
        <v>0</v>
      </c>
      <c r="G60" s="154" t="str" cm="1">
        <f t="array" aca="1" ref="G60" ca="1">IF(C60="", "", INDEX(INDIRECT("'"&amp;A60&amp;"'!8:8"), COLUMN(INDIRECT("'"&amp;A60&amp;"'!"&amp;C60))))</f>
        <v>Integer</v>
      </c>
      <c r="H60" s="154" t="str" cm="1">
        <f t="array" aca="1" ref="H60" ca="1">IF(C60="","",T(INDIRECT("'"&amp;A60&amp;"'!"&amp;ADDRESS(7, COLUMN(INDIRECT("'"&amp;A60&amp;"'!"&amp;C60))))))</f>
        <v>Flow</v>
      </c>
      <c r="I60" s="154" t="str" cm="1">
        <f t="array" aca="1" ref="I60" ca="1">IF(C60="","",T(INDIRECT("'"&amp;A60&amp;"'!"&amp;ADDRESS(9, COLUMN(INDIRECT("'"&amp;A60&amp;"'!"&amp;C60))))))</f>
        <v/>
      </c>
      <c r="J60" t="s">
        <v>1596</v>
      </c>
      <c r="K60" t="s">
        <v>1593</v>
      </c>
      <c r="L60" t="s">
        <v>1582</v>
      </c>
      <c r="M60" t="s">
        <v>1597</v>
      </c>
    </row>
    <row r="61" spans="1:13" ht="15" customHeight="1">
      <c r="A61" s="154" t="s">
        <v>159</v>
      </c>
      <c r="E61" s="155" cm="1">
        <f t="array" aca="1" ref="E61" ca="1">IF(C61="", INDIRECT("'"&amp;A61&amp;"'!B3"), INDEX(INDIRECT("'"&amp;A61&amp;"'!5:5"), COLUMN(INDIRECT("'"&amp;A61&amp;"'!"&amp;C61))))</f>
        <v>0</v>
      </c>
      <c r="F61" s="155" t="str" cm="1">
        <f t="array" aca="1" ref="F61" ca="1">IF(C61="", "", INDEX(INDIRECT("'"&amp;A61&amp;"'!3:3"), COLUMN(INDIRECT("'"&amp;A61&amp;"'!"&amp;C61))))</f>
        <v/>
      </c>
      <c r="G61" s="154" t="str" cm="1">
        <f t="array" aca="1" ref="G61" ca="1">IF(C61="", "", INDEX(INDIRECT("'"&amp;A61&amp;"'!8:8"), COLUMN(INDIRECT("'"&amp;A61&amp;"'!"&amp;C61))))</f>
        <v/>
      </c>
      <c r="H61" s="154" t="str" cm="1">
        <f t="array" aca="1" ref="H61" ca="1">IF(C61="","",T(INDIRECT("'"&amp;A61&amp;"'!"&amp;ADDRESS(7, COLUMN(INDIRECT("'"&amp;A61&amp;"'!"&amp;C61))))))</f>
        <v/>
      </c>
      <c r="I61" s="154" t="str" cm="1">
        <f t="array" aca="1" ref="I61" ca="1">IF(C61="","",T(INDIRECT("'"&amp;A61&amp;"'!"&amp;ADDRESS(9, COLUMN(INDIRECT("'"&amp;A61&amp;"'!"&amp;C61))))))</f>
        <v/>
      </c>
    </row>
    <row r="62" spans="1:13" ht="15" customHeight="1">
      <c r="A62" s="154" t="s">
        <v>159</v>
      </c>
      <c r="B62" s="154" t="s">
        <v>81</v>
      </c>
      <c r="C62" t="s">
        <v>1549</v>
      </c>
      <c r="D62" s="154" t="s">
        <v>60</v>
      </c>
      <c r="E62" s="155" t="str" cm="1">
        <f t="array" aca="1" ref="E62" ca="1">IF(C62="", INDIRECT("'"&amp;A62&amp;"'!B3"), INDEX(INDIRECT("'"&amp;A62&amp;"'!5:5"), COLUMN(INDIRECT("'"&amp;A62&amp;"'!"&amp;C62))))</f>
        <v>Master Accounts with Linked Virtual IBANs</v>
      </c>
      <c r="F62" s="155" cm="1">
        <f t="array" aca="1" ref="F62" ca="1">IF(C62="", "", INDEX(INDIRECT("'"&amp;A62&amp;"'!3:3"), COLUMN(INDIRECT("'"&amp;A62&amp;"'!"&amp;C62))))</f>
        <v>0</v>
      </c>
      <c r="G62" s="154" t="str" cm="1">
        <f t="array" aca="1" ref="G62" ca="1">IF(C62="", "", INDEX(INDIRECT("'"&amp;A62&amp;"'!8:8"), COLUMN(INDIRECT("'"&amp;A62&amp;"'!"&amp;C62))))</f>
        <v>Integer</v>
      </c>
      <c r="H62" s="154" t="str" cm="1">
        <f t="array" aca="1" ref="H62" ca="1">IF(C62="","",T(INDIRECT("'"&amp;A62&amp;"'!"&amp;ADDRESS(7, COLUMN(INDIRECT("'"&amp;A62&amp;"'!"&amp;C62))))))</f>
        <v>Stock</v>
      </c>
      <c r="I62" s="154" t="str" cm="1">
        <f t="array" aca="1" ref="I62" ca="1">IF(C62="","",T(INDIRECT("'"&amp;A62&amp;"'!"&amp;ADDRESS(9, COLUMN(INDIRECT("'"&amp;A62&amp;"'!"&amp;C62))))))</f>
        <v/>
      </c>
      <c r="J62" t="s">
        <v>1592</v>
      </c>
      <c r="K62" t="s">
        <v>1598</v>
      </c>
      <c r="L62" t="s">
        <v>1599</v>
      </c>
    </row>
    <row r="63" spans="1:13" ht="15" customHeight="1">
      <c r="A63" s="154" t="s">
        <v>159</v>
      </c>
      <c r="B63" s="154" t="s">
        <v>82</v>
      </c>
      <c r="C63" t="s">
        <v>1550</v>
      </c>
      <c r="D63" s="154" t="s">
        <v>60</v>
      </c>
      <c r="E63" s="155" t="str" cm="1">
        <f t="array" aca="1" ref="E63" ca="1">IF(C63="", INDIRECT("'"&amp;A63&amp;"'!B3"), INDEX(INDIRECT("'"&amp;A63&amp;"'!5:5"), COLUMN(INDIRECT("'"&amp;A63&amp;"'!"&amp;C63))))</f>
        <v>Transactions on vIBANs (Incoming) - Number</v>
      </c>
      <c r="F63" s="155" cm="1">
        <f t="array" aca="1" ref="F63" ca="1">IF(C63="", "", INDEX(INDIRECT("'"&amp;A63&amp;"'!3:3"), COLUMN(INDIRECT("'"&amp;A63&amp;"'!"&amp;C63))))</f>
        <v>0</v>
      </c>
      <c r="G63" s="154" t="str" cm="1">
        <f t="array" aca="1" ref="G63" ca="1">IF(C63="", "", INDEX(INDIRECT("'"&amp;A63&amp;"'!8:8"), COLUMN(INDIRECT("'"&amp;A63&amp;"'!"&amp;C63))))</f>
        <v>Integer</v>
      </c>
      <c r="H63" s="154" t="str" cm="1">
        <f t="array" aca="1" ref="H63" ca="1">IF(C63="","",T(INDIRECT("'"&amp;A63&amp;"'!"&amp;ADDRESS(7, COLUMN(INDIRECT("'"&amp;A63&amp;"'!"&amp;C63))))))</f>
        <v>Flow</v>
      </c>
      <c r="I63" s="154" t="str" cm="1">
        <f t="array" aca="1" ref="I63" ca="1">IF(C63="","",T(INDIRECT("'"&amp;A63&amp;"'!"&amp;ADDRESS(9, COLUMN(INDIRECT("'"&amp;A63&amp;"'!"&amp;C63))))))</f>
        <v/>
      </c>
      <c r="J63" t="s">
        <v>1596</v>
      </c>
      <c r="K63" t="s">
        <v>1599</v>
      </c>
      <c r="L63" t="s">
        <v>1582</v>
      </c>
      <c r="M63" t="s">
        <v>1595</v>
      </c>
    </row>
    <row r="64" spans="1:13" ht="15" customHeight="1">
      <c r="A64" s="154" t="s">
        <v>159</v>
      </c>
      <c r="B64" s="154" t="s">
        <v>83</v>
      </c>
      <c r="C64" t="s">
        <v>1551</v>
      </c>
      <c r="D64" s="154" t="s">
        <v>60</v>
      </c>
      <c r="E64" s="155" t="str" cm="1">
        <f t="array" aca="1" ref="E64" ca="1">IF(C64="", INDIRECT("'"&amp;A64&amp;"'!B3"), INDEX(INDIRECT("'"&amp;A64&amp;"'!5:5"), COLUMN(INDIRECT("'"&amp;A64&amp;"'!"&amp;C64))))</f>
        <v>Transactions on vIBANs (Incoming) - Value</v>
      </c>
      <c r="F64" s="155" cm="1">
        <f t="array" aca="1" ref="F64" ca="1">IF(C64="", "", INDEX(INDIRECT("'"&amp;A64&amp;"'!3:3"), COLUMN(INDIRECT("'"&amp;A64&amp;"'!"&amp;C64))))</f>
        <v>0</v>
      </c>
      <c r="G64" s="154" t="str" cm="1">
        <f t="array" aca="1" ref="G64" ca="1">IF(C64="", "", INDEX(INDIRECT("'"&amp;A64&amp;"'!8:8"), COLUMN(INDIRECT("'"&amp;A64&amp;"'!"&amp;C64))))</f>
        <v>Monetary</v>
      </c>
      <c r="H64" s="154" t="str" cm="1">
        <f t="array" aca="1" ref="H64" ca="1">IF(C64="","",T(INDIRECT("'"&amp;A64&amp;"'!"&amp;ADDRESS(7, COLUMN(INDIRECT("'"&amp;A64&amp;"'!"&amp;C64))))))</f>
        <v>Flow</v>
      </c>
      <c r="I64" s="154" t="str" cm="1">
        <f t="array" aca="1" ref="I64" ca="1">IF(C64="","",T(INDIRECT("'"&amp;A64&amp;"'!"&amp;ADDRESS(9, COLUMN(INDIRECT("'"&amp;A64&amp;"'!"&amp;C64))))))</f>
        <v/>
      </c>
      <c r="J64" t="s">
        <v>1594</v>
      </c>
      <c r="K64" t="s">
        <v>1599</v>
      </c>
      <c r="L64" t="s">
        <v>1582</v>
      </c>
      <c r="M64" t="s">
        <v>1595</v>
      </c>
    </row>
    <row r="65" spans="1:15" ht="15" customHeight="1">
      <c r="A65" s="154" t="s">
        <v>159</v>
      </c>
      <c r="B65" s="154" t="s">
        <v>84</v>
      </c>
      <c r="C65" t="s">
        <v>1552</v>
      </c>
      <c r="D65" s="154" t="s">
        <v>60</v>
      </c>
      <c r="E65" s="155" t="str" cm="1">
        <f t="array" aca="1" ref="E65" ca="1">IF(C65="", INDIRECT("'"&amp;A65&amp;"'!B3"), INDEX(INDIRECT("'"&amp;A65&amp;"'!5:5"), COLUMN(INDIRECT("'"&amp;A65&amp;"'!"&amp;C65))))</f>
        <v>Transactions on vIBANs (Outgoing) - Number</v>
      </c>
      <c r="F65" s="155" cm="1">
        <f t="array" aca="1" ref="F65" ca="1">IF(C65="", "", INDEX(INDIRECT("'"&amp;A65&amp;"'!3:3"), COLUMN(INDIRECT("'"&amp;A65&amp;"'!"&amp;C65))))</f>
        <v>0</v>
      </c>
      <c r="G65" s="154" t="str" cm="1">
        <f t="array" aca="1" ref="G65" ca="1">IF(C65="", "", INDEX(INDIRECT("'"&amp;A65&amp;"'!8:8"), COLUMN(INDIRECT("'"&amp;A65&amp;"'!"&amp;C65))))</f>
        <v>Integer</v>
      </c>
      <c r="H65" s="154" t="str" cm="1">
        <f t="array" aca="1" ref="H65" ca="1">IF(C65="","",T(INDIRECT("'"&amp;A65&amp;"'!"&amp;ADDRESS(7, COLUMN(INDIRECT("'"&amp;A65&amp;"'!"&amp;C65))))))</f>
        <v>Flow</v>
      </c>
      <c r="I65" s="154" t="str" cm="1">
        <f t="array" aca="1" ref="I65" ca="1">IF(C65="","",T(INDIRECT("'"&amp;A65&amp;"'!"&amp;ADDRESS(9, COLUMN(INDIRECT("'"&amp;A65&amp;"'!"&amp;C65))))))</f>
        <v/>
      </c>
      <c r="J65" t="s">
        <v>1596</v>
      </c>
      <c r="K65" t="s">
        <v>1599</v>
      </c>
      <c r="L65" t="s">
        <v>1582</v>
      </c>
      <c r="M65" t="s">
        <v>1597</v>
      </c>
    </row>
    <row r="66" spans="1:15" ht="15" customHeight="1">
      <c r="A66" s="154" t="s">
        <v>159</v>
      </c>
      <c r="B66" s="154" t="s">
        <v>85</v>
      </c>
      <c r="C66" t="s">
        <v>1553</v>
      </c>
      <c r="D66" s="154" t="s">
        <v>60</v>
      </c>
      <c r="E66" s="155" t="str" cm="1">
        <f t="array" aca="1" ref="E66" ca="1">IF(C66="", INDIRECT("'"&amp;A66&amp;"'!B3"), INDEX(INDIRECT("'"&amp;A66&amp;"'!5:5"), COLUMN(INDIRECT("'"&amp;A66&amp;"'!"&amp;C66))))</f>
        <v>Transactions on vIBANs (Outgoing) - Value</v>
      </c>
      <c r="F66" s="155" cm="1">
        <f t="array" aca="1" ref="F66" ca="1">IF(C66="", "", INDEX(INDIRECT("'"&amp;A66&amp;"'!3:3"), COLUMN(INDIRECT("'"&amp;A66&amp;"'!"&amp;C66))))</f>
        <v>0</v>
      </c>
      <c r="G66" s="154" t="str" cm="1">
        <f t="array" aca="1" ref="G66" ca="1">IF(C66="", "", INDEX(INDIRECT("'"&amp;A66&amp;"'!8:8"), COLUMN(INDIRECT("'"&amp;A66&amp;"'!"&amp;C66))))</f>
        <v>Monetary</v>
      </c>
      <c r="H66" s="154" t="str" cm="1">
        <f t="array" aca="1" ref="H66" ca="1">IF(C66="","",T(INDIRECT("'"&amp;A66&amp;"'!"&amp;ADDRESS(7, COLUMN(INDIRECT("'"&amp;A66&amp;"'!"&amp;C66))))))</f>
        <v>Flow</v>
      </c>
      <c r="I66" s="154" t="str" cm="1">
        <f t="array" aca="1" ref="I66" ca="1">IF(C66="","",T(INDIRECT("'"&amp;A66&amp;"'!"&amp;ADDRESS(9, COLUMN(INDIRECT("'"&amp;A66&amp;"'!"&amp;C66))))))</f>
        <v/>
      </c>
      <c r="J66" t="s">
        <v>1594</v>
      </c>
      <c r="K66" t="s">
        <v>1599</v>
      </c>
      <c r="L66" t="s">
        <v>1582</v>
      </c>
      <c r="M66" t="s">
        <v>1597</v>
      </c>
    </row>
    <row r="67" spans="1:15" ht="15" customHeight="1">
      <c r="A67" s="154" t="s">
        <v>159</v>
      </c>
      <c r="B67" s="154" t="s">
        <v>86</v>
      </c>
      <c r="C67" t="s">
        <v>1554</v>
      </c>
      <c r="D67" s="154" t="s">
        <v>60</v>
      </c>
      <c r="E67" s="155" t="str" cm="1">
        <f t="array" aca="1" ref="E67" ca="1">IF(C67="", INDIRECT("'"&amp;A67&amp;"'!B3"), INDEX(INDIRECT("'"&amp;A67&amp;"'!5:5"), COLUMN(INDIRECT("'"&amp;A67&amp;"'!"&amp;C67))))</f>
        <v>Re-issued Virtual IBANs</v>
      </c>
      <c r="F67" s="155" cm="1">
        <f t="array" aca="1" ref="F67" ca="1">IF(C67="", "", INDEX(INDIRECT("'"&amp;A67&amp;"'!3:3"), COLUMN(INDIRECT("'"&amp;A67&amp;"'!"&amp;C67))))</f>
        <v>0</v>
      </c>
      <c r="G67" s="154" t="str" cm="1">
        <f t="array" aca="1" ref="G67" ca="1">IF(C67="", "", INDEX(INDIRECT("'"&amp;A67&amp;"'!8:8"), COLUMN(INDIRECT("'"&amp;A67&amp;"'!"&amp;C67))))</f>
        <v>Integer</v>
      </c>
      <c r="H67" s="154" t="str" cm="1">
        <f t="array" aca="1" ref="H67" ca="1">IF(C67="","",T(INDIRECT("'"&amp;A67&amp;"'!"&amp;ADDRESS(7, COLUMN(INDIRECT("'"&amp;A67&amp;"'!"&amp;C67))))))</f>
        <v>Flow</v>
      </c>
      <c r="I67" s="154" t="str" cm="1">
        <f t="array" aca="1" ref="I67" ca="1">IF(C67="","",T(INDIRECT("'"&amp;A67&amp;"'!"&amp;ADDRESS(9, COLUMN(INDIRECT("'"&amp;A67&amp;"'!"&amp;C67))))))</f>
        <v/>
      </c>
      <c r="J67" t="s">
        <v>1600</v>
      </c>
    </row>
    <row r="68" spans="1:15" ht="15" customHeight="1">
      <c r="A68" s="154" t="s">
        <v>159</v>
      </c>
      <c r="B68" s="154" t="s">
        <v>87</v>
      </c>
      <c r="C68" t="s">
        <v>1555</v>
      </c>
      <c r="D68" s="154" t="s">
        <v>60</v>
      </c>
      <c r="E68" s="155" t="str" cm="1">
        <f t="array" aca="1" ref="E68" ca="1">IF(C68="", INDIRECT("'"&amp;A68&amp;"'!B3"), INDEX(INDIRECT("'"&amp;A68&amp;"'!5:5"), COLUMN(INDIRECT("'"&amp;A68&amp;"'!"&amp;C68))))</f>
        <v>Re-issued Virtual IBANs - Non-customer End-user</v>
      </c>
      <c r="F68" s="155" cm="1">
        <f t="array" aca="1" ref="F68" ca="1">IF(C68="", "", INDEX(INDIRECT("'"&amp;A68&amp;"'!3:3"), COLUMN(INDIRECT("'"&amp;A68&amp;"'!"&amp;C68))))</f>
        <v>0</v>
      </c>
      <c r="G68" s="154" t="str" cm="1">
        <f t="array" aca="1" ref="G68" ca="1">IF(C68="", "", INDEX(INDIRECT("'"&amp;A68&amp;"'!8:8"), COLUMN(INDIRECT("'"&amp;A68&amp;"'!"&amp;C68))))</f>
        <v>Integer</v>
      </c>
      <c r="H68" s="154" t="str" cm="1">
        <f t="array" aca="1" ref="H68" ca="1">IF(C68="","",T(INDIRECT("'"&amp;A68&amp;"'!"&amp;ADDRESS(7, COLUMN(INDIRECT("'"&amp;A68&amp;"'!"&amp;C68))))))</f>
        <v>Flow</v>
      </c>
      <c r="I68" s="154" t="str" cm="1">
        <f t="array" aca="1" ref="I68" ca="1">IF(C68="","",T(INDIRECT("'"&amp;A68&amp;"'!"&amp;ADDRESS(9, COLUMN(INDIRECT("'"&amp;A68&amp;"'!"&amp;C68))))))</f>
        <v/>
      </c>
      <c r="J68" t="s">
        <v>1600</v>
      </c>
      <c r="K68" t="s">
        <v>1601</v>
      </c>
    </row>
    <row r="69" spans="1:15" ht="15" customHeight="1">
      <c r="A69" s="154" t="s">
        <v>168</v>
      </c>
      <c r="E69" s="155" cm="1">
        <f t="array" aca="1" ref="E69" ca="1">IF(C69="", INDIRECT("'"&amp;A69&amp;"'!B3"), INDEX(INDIRECT("'"&amp;A69&amp;"'!5:5"), COLUMN(INDIRECT("'"&amp;A69&amp;"'!"&amp;C69))))</f>
        <v>0</v>
      </c>
      <c r="F69" s="155" t="str" cm="1">
        <f t="array" aca="1" ref="F69" ca="1">IF(C69="", "", INDEX(INDIRECT("'"&amp;A69&amp;"'!3:3"), COLUMN(INDIRECT("'"&amp;A69&amp;"'!"&amp;C69))))</f>
        <v/>
      </c>
      <c r="G69" s="154" t="str" cm="1">
        <f t="array" aca="1" ref="G69" ca="1">IF(C69="", "", INDEX(INDIRECT("'"&amp;A69&amp;"'!8:8"), COLUMN(INDIRECT("'"&amp;A69&amp;"'!"&amp;C69))))</f>
        <v/>
      </c>
      <c r="H69" s="154" t="str" cm="1">
        <f t="array" aca="1" ref="H69" ca="1">IF(C69="","",T(INDIRECT("'"&amp;A69&amp;"'!"&amp;ADDRESS(7, COLUMN(INDIRECT("'"&amp;A69&amp;"'!"&amp;C69))))))</f>
        <v/>
      </c>
      <c r="I69" s="154" t="str" cm="1">
        <f t="array" aca="1" ref="I69" ca="1">IF(C69="","",T(INDIRECT("'"&amp;A69&amp;"'!"&amp;ADDRESS(9, COLUMN(INDIRECT("'"&amp;A69&amp;"'!"&amp;C69))))))</f>
        <v/>
      </c>
    </row>
    <row r="70" spans="1:15" ht="15" customHeight="1">
      <c r="A70" s="154" t="s">
        <v>168</v>
      </c>
      <c r="B70" s="154" t="s">
        <v>81</v>
      </c>
      <c r="C70" t="s">
        <v>1549</v>
      </c>
      <c r="D70" s="154" t="s">
        <v>61</v>
      </c>
      <c r="E70" s="155" t="str" cm="1">
        <f t="array" aca="1" ref="E70" ca="1">IF(C70="", INDIRECT("'"&amp;A70&amp;"'!B3"), INDEX(INDIRECT("'"&amp;A70&amp;"'!5:5"), COLUMN(INDIRECT("'"&amp;A70&amp;"'!"&amp;C70))))</f>
        <v>Prepaid Cards Issued - Number</v>
      </c>
      <c r="F70" s="155" cm="1">
        <f t="array" aca="1" ref="F70" ca="1">IF(C70="", "", INDEX(INDIRECT("'"&amp;A70&amp;"'!3:3"), COLUMN(INDIRECT("'"&amp;A70&amp;"'!"&amp;C70))))</f>
        <v>0</v>
      </c>
      <c r="G70" s="154" t="str" cm="1">
        <f t="array" aca="1" ref="G70" ca="1">IF(C70="", "", INDEX(INDIRECT("'"&amp;A70&amp;"'!8:8"), COLUMN(INDIRECT("'"&amp;A70&amp;"'!"&amp;C70))))</f>
        <v>Integer</v>
      </c>
      <c r="H70" s="154" t="str" cm="1">
        <f t="array" aca="1" ref="H70" ca="1">IF(C70="","",T(INDIRECT("'"&amp;A70&amp;"'!"&amp;ADDRESS(7, COLUMN(INDIRECT("'"&amp;A70&amp;"'!"&amp;C70))))))</f>
        <v>Flow</v>
      </c>
      <c r="I70" s="154" t="str" cm="1">
        <f t="array" aca="1" ref="I70" ca="1">IF(C70="","",T(INDIRECT("'"&amp;A70&amp;"'!"&amp;ADDRESS(9, COLUMN(INDIRECT("'"&amp;A70&amp;"'!"&amp;C70))))))</f>
        <v/>
      </c>
      <c r="J70" t="s">
        <v>1602</v>
      </c>
      <c r="K70" t="s">
        <v>1603</v>
      </c>
      <c r="L70" t="s">
        <v>1604</v>
      </c>
      <c r="M70" t="s">
        <v>1582</v>
      </c>
    </row>
    <row r="71" spans="1:15" ht="15" customHeight="1">
      <c r="A71" s="154" t="s">
        <v>168</v>
      </c>
      <c r="B71" s="154" t="s">
        <v>82</v>
      </c>
      <c r="C71" t="s">
        <v>1550</v>
      </c>
      <c r="D71" s="154" t="s">
        <v>61</v>
      </c>
      <c r="E71" s="155" t="str" cm="1">
        <f t="array" aca="1" ref="E71" ca="1">IF(C71="", INDIRECT("'"&amp;A71&amp;"'!B3"), INDEX(INDIRECT("'"&amp;A71&amp;"'!5:5"), COLUMN(INDIRECT("'"&amp;A71&amp;"'!"&amp;C71))))</f>
        <v>Prepaid Cards Issued - Value</v>
      </c>
      <c r="F71" s="155" cm="1">
        <f t="array" aca="1" ref="F71" ca="1">IF(C71="", "", INDEX(INDIRECT("'"&amp;A71&amp;"'!3:3"), COLUMN(INDIRECT("'"&amp;A71&amp;"'!"&amp;C71))))</f>
        <v>0</v>
      </c>
      <c r="G71" s="154" t="str" cm="1">
        <f t="array" aca="1" ref="G71" ca="1">IF(C71="", "", INDEX(INDIRECT("'"&amp;A71&amp;"'!8:8"), COLUMN(INDIRECT("'"&amp;A71&amp;"'!"&amp;C71))))</f>
        <v>Monetary</v>
      </c>
      <c r="H71" s="154" t="str" cm="1">
        <f t="array" aca="1" ref="H71" ca="1">IF(C71="","",T(INDIRECT("'"&amp;A71&amp;"'!"&amp;ADDRESS(7, COLUMN(INDIRECT("'"&amp;A71&amp;"'!"&amp;C71))))))</f>
        <v>Flow</v>
      </c>
      <c r="I71" s="154" t="str" cm="1">
        <f t="array" aca="1" ref="I71" ca="1">IF(C71="","",T(INDIRECT("'"&amp;A71&amp;"'!"&amp;ADDRESS(9, COLUMN(INDIRECT("'"&amp;A71&amp;"'!"&amp;C71))))))</f>
        <v/>
      </c>
      <c r="J71" t="s">
        <v>1594</v>
      </c>
      <c r="K71" t="s">
        <v>1603</v>
      </c>
      <c r="L71" t="s">
        <v>1604</v>
      </c>
      <c r="M71" t="s">
        <v>1582</v>
      </c>
    </row>
    <row r="72" spans="1:15" ht="15" customHeight="1">
      <c r="A72" s="154" t="s">
        <v>168</v>
      </c>
      <c r="B72" s="154" t="s">
        <v>83</v>
      </c>
      <c r="C72" t="s">
        <v>1551</v>
      </c>
      <c r="D72" s="154" t="s">
        <v>61</v>
      </c>
      <c r="E72" s="155" t="str" cm="1">
        <f t="array" aca="1" ref="E72" ca="1">IF(C72="", INDIRECT("'"&amp;A72&amp;"'!B3"), INDEX(INDIRECT("'"&amp;A72&amp;"'!5:5"), COLUMN(INDIRECT("'"&amp;A72&amp;"'!"&amp;C72))))</f>
        <v>Prepaid Cards - Outstanding Value</v>
      </c>
      <c r="F72" s="155" cm="1">
        <f t="array" aca="1" ref="F72" ca="1">IF(C72="", "", INDEX(INDIRECT("'"&amp;A72&amp;"'!3:3"), COLUMN(INDIRECT("'"&amp;A72&amp;"'!"&amp;C72))))</f>
        <v>0</v>
      </c>
      <c r="G72" s="154" t="str" cm="1">
        <f t="array" aca="1" ref="G72" ca="1">IF(C72="", "", INDEX(INDIRECT("'"&amp;A72&amp;"'!8:8"), COLUMN(INDIRECT("'"&amp;A72&amp;"'!"&amp;C72))))</f>
        <v>Monetary</v>
      </c>
      <c r="H72" s="154" t="str" cm="1">
        <f t="array" aca="1" ref="H72" ca="1">IF(C72="","",T(INDIRECT("'"&amp;A72&amp;"'!"&amp;ADDRESS(7, COLUMN(INDIRECT("'"&amp;A72&amp;"'!"&amp;C72))))))</f>
        <v>Stock</v>
      </c>
      <c r="I72" s="154" t="str" cm="1">
        <f t="array" aca="1" ref="I72" ca="1">IF(C72="","",T(INDIRECT("'"&amp;A72&amp;"'!"&amp;ADDRESS(9, COLUMN(INDIRECT("'"&amp;A72&amp;"'!"&amp;C72))))))</f>
        <v/>
      </c>
      <c r="J72" t="s">
        <v>1605</v>
      </c>
      <c r="K72" t="s">
        <v>1603</v>
      </c>
      <c r="L72" t="s">
        <v>1604</v>
      </c>
      <c r="M72" t="s">
        <v>1582</v>
      </c>
    </row>
    <row r="73" spans="1:15" ht="15" customHeight="1">
      <c r="A73" s="154" t="s">
        <v>168</v>
      </c>
      <c r="B73" s="154" t="s">
        <v>84</v>
      </c>
      <c r="C73" t="s">
        <v>1552</v>
      </c>
      <c r="D73" s="154" t="s">
        <v>61</v>
      </c>
      <c r="E73" s="155" t="str" cm="1">
        <f t="array" aca="1" ref="E73" ca="1">IF(C73="", INDIRECT("'"&amp;A73&amp;"'!B3"), INDEX(INDIRECT("'"&amp;A73&amp;"'!5:5"), COLUMN(INDIRECT("'"&amp;A73&amp;"'!"&amp;C73))))</f>
        <v>Customers Using Prepaid Cards</v>
      </c>
      <c r="F73" s="155" cm="1">
        <f t="array" aca="1" ref="F73" ca="1">IF(C73="", "", INDEX(INDIRECT("'"&amp;A73&amp;"'!3:3"), COLUMN(INDIRECT("'"&amp;A73&amp;"'!"&amp;C73))))</f>
        <v>0</v>
      </c>
      <c r="G73" s="154" t="str" cm="1">
        <f t="array" aca="1" ref="G73" ca="1">IF(C73="", "", INDEX(INDIRECT("'"&amp;A73&amp;"'!8:8"), COLUMN(INDIRECT("'"&amp;A73&amp;"'!"&amp;C73))))</f>
        <v>Integer</v>
      </c>
      <c r="H73" s="154" t="str" cm="1">
        <f t="array" aca="1" ref="H73" ca="1">IF(C73="","",T(INDIRECT("'"&amp;A73&amp;"'!"&amp;ADDRESS(7, COLUMN(INDIRECT("'"&amp;A73&amp;"'!"&amp;C73))))))</f>
        <v>Flow</v>
      </c>
      <c r="I73" s="154" t="str" cm="1">
        <f t="array" aca="1" ref="I73" ca="1">IF(C73="","",T(INDIRECT("'"&amp;A73&amp;"'!"&amp;ADDRESS(9, COLUMN(INDIRECT("'"&amp;A73&amp;"'!"&amp;C73))))))</f>
        <v/>
      </c>
      <c r="J73" t="s">
        <v>1578</v>
      </c>
      <c r="K73" t="s">
        <v>1603</v>
      </c>
    </row>
    <row r="74" spans="1:15" ht="15" customHeight="1">
      <c r="A74" s="154" t="s">
        <v>168</v>
      </c>
      <c r="B74" s="154" t="s">
        <v>85</v>
      </c>
      <c r="C74" t="s">
        <v>1553</v>
      </c>
      <c r="D74" s="154" t="s">
        <v>61</v>
      </c>
      <c r="E74" s="155" t="str" cm="1">
        <f t="array" aca="1" ref="E74" ca="1">IF(C74="", INDIRECT("'"&amp;A74&amp;"'!B3"), INDEX(INDIRECT("'"&amp;A74&amp;"'!5:5"), COLUMN(INDIRECT("'"&amp;A74&amp;"'!"&amp;C74))))</f>
        <v>Customers with Multiple Prepaid Cards (&gt;3)</v>
      </c>
      <c r="F74" s="155" cm="1">
        <f t="array" aca="1" ref="F74" ca="1">IF(C74="", "", INDEX(INDIRECT("'"&amp;A74&amp;"'!3:3"), COLUMN(INDIRECT("'"&amp;A74&amp;"'!"&amp;C74))))</f>
        <v>0</v>
      </c>
      <c r="G74" s="154" t="str" cm="1">
        <f t="array" aca="1" ref="G74" ca="1">IF(C74="", "", INDEX(INDIRECT("'"&amp;A74&amp;"'!8:8"), COLUMN(INDIRECT("'"&amp;A74&amp;"'!"&amp;C74))))</f>
        <v>Integer</v>
      </c>
      <c r="H74" s="154" t="str" cm="1">
        <f t="array" aca="1" ref="H74" ca="1">IF(C74="","",T(INDIRECT("'"&amp;A74&amp;"'!"&amp;ADDRESS(7, COLUMN(INDIRECT("'"&amp;A74&amp;"'!"&amp;C74))))))</f>
        <v>Flow</v>
      </c>
      <c r="I74" s="154" t="str" cm="1">
        <f t="array" aca="1" ref="I74" ca="1">IF(C74="","",T(INDIRECT("'"&amp;A74&amp;"'!"&amp;ADDRESS(9, COLUMN(INDIRECT("'"&amp;A74&amp;"'!"&amp;C74))))))</f>
        <v/>
      </c>
      <c r="J74" t="s">
        <v>1578</v>
      </c>
      <c r="K74" t="s">
        <v>1603</v>
      </c>
      <c r="L74" t="s">
        <v>1606</v>
      </c>
    </row>
    <row r="75" spans="1:15" ht="15" customHeight="1">
      <c r="A75" s="154" t="s">
        <v>175</v>
      </c>
      <c r="E75" s="155" cm="1">
        <f t="array" aca="1" ref="E75" ca="1">IF(C75="", INDIRECT("'"&amp;A75&amp;"'!B3"), INDEX(INDIRECT("'"&amp;A75&amp;"'!5:5"), COLUMN(INDIRECT("'"&amp;A75&amp;"'!"&amp;C75))))</f>
        <v>0</v>
      </c>
      <c r="F75" s="155" t="str" cm="1">
        <f t="array" aca="1" ref="F75" ca="1">IF(C75="", "", INDEX(INDIRECT("'"&amp;A75&amp;"'!3:3"), COLUMN(INDIRECT("'"&amp;A75&amp;"'!"&amp;C75))))</f>
        <v/>
      </c>
      <c r="G75" s="154" t="str" cm="1">
        <f t="array" aca="1" ref="G75" ca="1">IF(C75="", "", INDEX(INDIRECT("'"&amp;A75&amp;"'!8:8"), COLUMN(INDIRECT("'"&amp;A75&amp;"'!"&amp;C75))))</f>
        <v/>
      </c>
      <c r="H75" s="154" t="str" cm="1">
        <f t="array" aca="1" ref="H75" ca="1">IF(C75="","",T(INDIRECT("'"&amp;A75&amp;"'!"&amp;ADDRESS(7, COLUMN(INDIRECT("'"&amp;A75&amp;"'!"&amp;C75))))))</f>
        <v/>
      </c>
      <c r="I75" s="154" t="str" cm="1">
        <f t="array" aca="1" ref="I75" ca="1">IF(C75="","",T(INDIRECT("'"&amp;A75&amp;"'!"&amp;ADDRESS(9, COLUMN(INDIRECT("'"&amp;A75&amp;"'!"&amp;C75))))))</f>
        <v/>
      </c>
    </row>
    <row r="76" spans="1:15" ht="15" customHeight="1">
      <c r="A76" s="154" t="s">
        <v>175</v>
      </c>
      <c r="B76" s="154" t="s">
        <v>81</v>
      </c>
      <c r="C76" t="s">
        <v>1549</v>
      </c>
      <c r="D76" s="154" t="s">
        <v>177</v>
      </c>
      <c r="E76" s="155" t="str" cm="1">
        <f t="array" aca="1" ref="E76" ca="1">IF(C76="", INDIRECT("'"&amp;A76&amp;"'!B3"), INDEX(INDIRECT("'"&amp;A76&amp;"'!5:5"), COLUMN(INDIRECT("'"&amp;A76&amp;"'!"&amp;C76))))</f>
        <v>Outstanding Loans - Number</v>
      </c>
      <c r="F76" s="155" cm="1">
        <f t="array" aca="1" ref="F76" ca="1">IF(C76="", "", INDEX(INDIRECT("'"&amp;A76&amp;"'!3:3"), COLUMN(INDIRECT("'"&amp;A76&amp;"'!"&amp;C76))))</f>
        <v>0</v>
      </c>
      <c r="G76" s="154" t="str" cm="1">
        <f t="array" aca="1" ref="G76" ca="1">IF(C76="", "", INDEX(INDIRECT("'"&amp;A76&amp;"'!8:8"), COLUMN(INDIRECT("'"&amp;A76&amp;"'!"&amp;C76))))</f>
        <v>Integer</v>
      </c>
      <c r="H76" s="154" t="str" cm="1">
        <f t="array" aca="1" ref="H76" ca="1">IF(C76="","",T(INDIRECT("'"&amp;A76&amp;"'!"&amp;ADDRESS(7, COLUMN(INDIRECT("'"&amp;A76&amp;"'!"&amp;C76))))))</f>
        <v>Stock</v>
      </c>
      <c r="I76" s="154" t="str" cm="1">
        <f t="array" aca="1" ref="I76" ca="1">IF(C76="","",T(INDIRECT("'"&amp;A76&amp;"'!"&amp;ADDRESS(9, COLUMN(INDIRECT("'"&amp;A76&amp;"'!"&amp;C76))))))</f>
        <v/>
      </c>
      <c r="J76" t="s">
        <v>1602</v>
      </c>
      <c r="K76" t="s">
        <v>1607</v>
      </c>
      <c r="L76" t="s">
        <v>1608</v>
      </c>
    </row>
    <row r="77" spans="1:15" ht="15" customHeight="1">
      <c r="A77" s="154" t="s">
        <v>175</v>
      </c>
      <c r="B77" s="154" t="s">
        <v>82</v>
      </c>
      <c r="C77" t="s">
        <v>1550</v>
      </c>
      <c r="D77" s="154" t="s">
        <v>177</v>
      </c>
      <c r="E77" s="155" t="str" cm="1">
        <f t="array" aca="1" ref="E77" ca="1">IF(C77="", INDIRECT("'"&amp;A77&amp;"'!B3"), INDEX(INDIRECT("'"&amp;A77&amp;"'!5:5"), COLUMN(INDIRECT("'"&amp;A77&amp;"'!"&amp;C77))))</f>
        <v>Outstanding Loans - Value</v>
      </c>
      <c r="F77" s="155" cm="1">
        <f t="array" aca="1" ref="F77" ca="1">IF(C77="", "", INDEX(INDIRECT("'"&amp;A77&amp;"'!3:3"), COLUMN(INDIRECT("'"&amp;A77&amp;"'!"&amp;C77))))</f>
        <v>0</v>
      </c>
      <c r="G77" s="154" t="str" cm="1">
        <f t="array" aca="1" ref="G77" ca="1">IF(C77="", "", INDEX(INDIRECT("'"&amp;A77&amp;"'!8:8"), COLUMN(INDIRECT("'"&amp;A77&amp;"'!"&amp;C77))))</f>
        <v>Monetary</v>
      </c>
      <c r="H77" s="154" t="str" cm="1">
        <f t="array" aca="1" ref="H77" ca="1">IF(C77="","",T(INDIRECT("'"&amp;A77&amp;"'!"&amp;ADDRESS(7, COLUMN(INDIRECT("'"&amp;A77&amp;"'!"&amp;C77))))))</f>
        <v>Stock</v>
      </c>
      <c r="I77" s="154" t="str" cm="1">
        <f t="array" aca="1" ref="I77" ca="1">IF(C77="","",T(INDIRECT("'"&amp;A77&amp;"'!"&amp;ADDRESS(9, COLUMN(INDIRECT("'"&amp;A77&amp;"'!"&amp;C77))))))</f>
        <v/>
      </c>
      <c r="J77" t="s">
        <v>1609</v>
      </c>
      <c r="K77" t="s">
        <v>1607</v>
      </c>
      <c r="L77" t="s">
        <v>1608</v>
      </c>
    </row>
    <row r="78" spans="1:15" ht="15" customHeight="1">
      <c r="A78" s="154" t="s">
        <v>175</v>
      </c>
      <c r="B78" s="154" t="s">
        <v>83</v>
      </c>
      <c r="C78" t="s">
        <v>1551</v>
      </c>
      <c r="D78" s="154" t="s">
        <v>177</v>
      </c>
      <c r="E78" s="155" t="str" cm="1">
        <f t="array" aca="1" ref="E78" ca="1">IF(C78="", INDIRECT("'"&amp;A78&amp;"'!B3"), INDEX(INDIRECT("'"&amp;A78&amp;"'!5:5"), COLUMN(INDIRECT("'"&amp;A78&amp;"'!"&amp;C78))))</f>
        <v>Outstanding Real Estate Loans - Number</v>
      </c>
      <c r="F78" s="155" cm="1">
        <f t="array" aca="1" ref="F78" ca="1">IF(C78="", "", INDEX(INDIRECT("'"&amp;A78&amp;"'!3:3"), COLUMN(INDIRECT("'"&amp;A78&amp;"'!"&amp;C78))))</f>
        <v>0</v>
      </c>
      <c r="G78" s="154" t="str" cm="1">
        <f t="array" aca="1" ref="G78" ca="1">IF(C78="", "", INDEX(INDIRECT("'"&amp;A78&amp;"'!8:8"), COLUMN(INDIRECT("'"&amp;A78&amp;"'!"&amp;C78))))</f>
        <v>Integer</v>
      </c>
      <c r="H78" s="154" t="str" cm="1">
        <f t="array" aca="1" ref="H78" ca="1">IF(C78="","",T(INDIRECT("'"&amp;A78&amp;"'!"&amp;ADDRESS(7, COLUMN(INDIRECT("'"&amp;A78&amp;"'!"&amp;C78))))))</f>
        <v>Stock</v>
      </c>
      <c r="I78" s="154" t="str" cm="1">
        <f t="array" aca="1" ref="I78" ca="1">IF(C78="","",T(INDIRECT("'"&amp;A78&amp;"'!"&amp;ADDRESS(9, COLUMN(INDIRECT("'"&amp;A78&amp;"'!"&amp;C78))))))</f>
        <v/>
      </c>
      <c r="J78" t="s">
        <v>1602</v>
      </c>
      <c r="K78" t="s">
        <v>1607</v>
      </c>
      <c r="L78" t="s">
        <v>1608</v>
      </c>
      <c r="M78" t="s">
        <v>1610</v>
      </c>
    </row>
    <row r="79" spans="1:15" ht="15" customHeight="1">
      <c r="A79" s="154" t="s">
        <v>175</v>
      </c>
      <c r="B79" s="154" t="s">
        <v>84</v>
      </c>
      <c r="C79" t="s">
        <v>1552</v>
      </c>
      <c r="D79" s="154" t="s">
        <v>177</v>
      </c>
      <c r="E79" s="155" t="str" cm="1">
        <f t="array" aca="1" ref="E79" ca="1">IF(C79="", INDIRECT("'"&amp;A79&amp;"'!B3"), INDEX(INDIRECT("'"&amp;A79&amp;"'!5:5"), COLUMN(INDIRECT("'"&amp;A79&amp;"'!"&amp;C79))))</f>
        <v>Real Estate Loans with Third-party Payments - Number</v>
      </c>
      <c r="F79" s="155" cm="1">
        <f t="array" aca="1" ref="F79" ca="1">IF(C79="", "", INDEX(INDIRECT("'"&amp;A79&amp;"'!3:3"), COLUMN(INDIRECT("'"&amp;A79&amp;"'!"&amp;C79))))</f>
        <v>0</v>
      </c>
      <c r="G79" s="154" t="str" cm="1">
        <f t="array" aca="1" ref="G79" ca="1">IF(C79="", "", INDEX(INDIRECT("'"&amp;A79&amp;"'!8:8"), COLUMN(INDIRECT("'"&amp;A79&amp;"'!"&amp;C79))))</f>
        <v>Integer</v>
      </c>
      <c r="H79" s="154" t="str" cm="1">
        <f t="array" aca="1" ref="H79" ca="1">IF(C79="","",T(INDIRECT("'"&amp;A79&amp;"'!"&amp;ADDRESS(7, COLUMN(INDIRECT("'"&amp;A79&amp;"'!"&amp;C79))))))</f>
        <v>Stock</v>
      </c>
      <c r="I79" s="154" t="str" cm="1">
        <f t="array" aca="1" ref="I79" ca="1">IF(C79="","",T(INDIRECT("'"&amp;A79&amp;"'!"&amp;ADDRESS(9, COLUMN(INDIRECT("'"&amp;A79&amp;"'!"&amp;C79))))))</f>
        <v/>
      </c>
      <c r="J79" t="s">
        <v>1602</v>
      </c>
      <c r="K79" t="s">
        <v>1607</v>
      </c>
      <c r="L79" t="s">
        <v>1608</v>
      </c>
      <c r="M79" t="s">
        <v>1610</v>
      </c>
      <c r="N79" t="s">
        <v>1611</v>
      </c>
      <c r="O79" t="s">
        <v>1612</v>
      </c>
    </row>
    <row r="80" spans="1:15" ht="15" customHeight="1">
      <c r="A80" s="154" t="s">
        <v>175</v>
      </c>
      <c r="B80" s="154" t="s">
        <v>85</v>
      </c>
      <c r="C80" t="s">
        <v>1553</v>
      </c>
      <c r="D80" s="154" t="s">
        <v>177</v>
      </c>
      <c r="E80" s="155" t="str" cm="1">
        <f t="array" aca="1" ref="E80" ca="1">IF(C80="", INDIRECT("'"&amp;A80&amp;"'!B3"), INDEX(INDIRECT("'"&amp;A80&amp;"'!5:5"), COLUMN(INDIRECT("'"&amp;A80&amp;"'!"&amp;C80))))</f>
        <v>Loans Granted - Value</v>
      </c>
      <c r="F80" s="155" cm="1">
        <f t="array" aca="1" ref="F80" ca="1">IF(C80="", "", INDEX(INDIRECT("'"&amp;A80&amp;"'!3:3"), COLUMN(INDIRECT("'"&amp;A80&amp;"'!"&amp;C80))))</f>
        <v>0</v>
      </c>
      <c r="G80" s="154" t="str" cm="1">
        <f t="array" aca="1" ref="G80" ca="1">IF(C80="", "", INDEX(INDIRECT("'"&amp;A80&amp;"'!8:8"), COLUMN(INDIRECT("'"&amp;A80&amp;"'!"&amp;C80))))</f>
        <v>Monetary</v>
      </c>
      <c r="H80" s="154" t="str" cm="1">
        <f t="array" aca="1" ref="H80" ca="1">IF(C80="","",T(INDIRECT("'"&amp;A80&amp;"'!"&amp;ADDRESS(7, COLUMN(INDIRECT("'"&amp;A80&amp;"'!"&amp;C80))))))</f>
        <v>Flow</v>
      </c>
      <c r="I80" s="154" t="str" cm="1">
        <f t="array" aca="1" ref="I80" ca="1">IF(C80="","",T(INDIRECT("'"&amp;A80&amp;"'!"&amp;ADDRESS(9, COLUMN(INDIRECT("'"&amp;A80&amp;"'!"&amp;C80))))))</f>
        <v/>
      </c>
      <c r="J80" t="s">
        <v>1609</v>
      </c>
      <c r="K80" t="s">
        <v>1607</v>
      </c>
      <c r="L80" t="s">
        <v>1608</v>
      </c>
      <c r="M80" t="s">
        <v>1611</v>
      </c>
    </row>
    <row r="81" spans="1:15" ht="15" customHeight="1">
      <c r="A81" s="154" t="s">
        <v>175</v>
      </c>
      <c r="B81" s="154" t="s">
        <v>86</v>
      </c>
      <c r="C81" t="s">
        <v>1554</v>
      </c>
      <c r="D81" s="154" t="s">
        <v>177</v>
      </c>
      <c r="E81" s="155" t="str" cm="1">
        <f t="array" aca="1" ref="E81" ca="1">IF(C81="", INDIRECT("'"&amp;A81&amp;"'!B3"), INDEX(INDIRECT("'"&amp;A81&amp;"'!5:5"), COLUMN(INDIRECT("'"&amp;A81&amp;"'!"&amp;C81))))</f>
        <v>Asset-backed Loans with Cash Collateral</v>
      </c>
      <c r="F81" s="155" cm="1">
        <f t="array" aca="1" ref="F81" ca="1">IF(C81="", "", INDEX(INDIRECT("'"&amp;A81&amp;"'!3:3"), COLUMN(INDIRECT("'"&amp;A81&amp;"'!"&amp;C81))))</f>
        <v>0</v>
      </c>
      <c r="G81" s="154" t="str" cm="1">
        <f t="array" aca="1" ref="G81" ca="1">IF(C81="", "", INDEX(INDIRECT("'"&amp;A81&amp;"'!8:8"), COLUMN(INDIRECT("'"&amp;A81&amp;"'!"&amp;C81))))</f>
        <v>Integer</v>
      </c>
      <c r="H81" s="154" t="str" cm="1">
        <f t="array" aca="1" ref="H81" ca="1">IF(C81="","",T(INDIRECT("'"&amp;A81&amp;"'!"&amp;ADDRESS(7, COLUMN(INDIRECT("'"&amp;A81&amp;"'!"&amp;C81))))))</f>
        <v>Stock</v>
      </c>
      <c r="I81" s="154" t="str" cm="1">
        <f t="array" aca="1" ref="I81" ca="1">IF(C81="","",T(INDIRECT("'"&amp;A81&amp;"'!"&amp;ADDRESS(9, COLUMN(INDIRECT("'"&amp;A81&amp;"'!"&amp;C81))))))</f>
        <v/>
      </c>
      <c r="J81" t="s">
        <v>1609</v>
      </c>
      <c r="K81" t="s">
        <v>1607</v>
      </c>
      <c r="L81" t="s">
        <v>1608</v>
      </c>
      <c r="M81" t="s">
        <v>1613</v>
      </c>
    </row>
    <row r="82" spans="1:15" ht="15" customHeight="1">
      <c r="A82" s="154" t="s">
        <v>175</v>
      </c>
      <c r="B82" s="154" t="s">
        <v>87</v>
      </c>
      <c r="C82" t="s">
        <v>1555</v>
      </c>
      <c r="D82" s="154" t="s">
        <v>177</v>
      </c>
      <c r="E82" s="155" t="str" cm="1">
        <f t="array" aca="1" ref="E82" ca="1">IF(C82="", INDIRECT("'"&amp;A82&amp;"'!B3"), INDEX(INDIRECT("'"&amp;A82&amp;"'!5:5"), COLUMN(INDIRECT("'"&amp;A82&amp;"'!"&amp;C82))))</f>
        <v>Loan Repayments - Number</v>
      </c>
      <c r="F82" s="155" cm="1">
        <f t="array" aca="1" ref="F82" ca="1">IF(C82="", "", INDEX(INDIRECT("'"&amp;A82&amp;"'!3:3"), COLUMN(INDIRECT("'"&amp;A82&amp;"'!"&amp;C82))))</f>
        <v>0</v>
      </c>
      <c r="G82" s="154" t="str" cm="1">
        <f t="array" aca="1" ref="G82" ca="1">IF(C82="", "", INDEX(INDIRECT("'"&amp;A82&amp;"'!8:8"), COLUMN(INDIRECT("'"&amp;A82&amp;"'!"&amp;C82))))</f>
        <v>Integer</v>
      </c>
      <c r="H82" s="154" t="str" cm="1">
        <f t="array" aca="1" ref="H82" ca="1">IF(C82="","",T(INDIRECT("'"&amp;A82&amp;"'!"&amp;ADDRESS(7, COLUMN(INDIRECT("'"&amp;A82&amp;"'!"&amp;C82))))))</f>
        <v>Flow</v>
      </c>
      <c r="I82" s="154" t="str" cm="1">
        <f t="array" aca="1" ref="I82" ca="1">IF(C82="","",T(INDIRECT("'"&amp;A82&amp;"'!"&amp;ADDRESS(9, COLUMN(INDIRECT("'"&amp;A82&amp;"'!"&amp;C82))))))</f>
        <v/>
      </c>
      <c r="J82" t="s">
        <v>1602</v>
      </c>
      <c r="K82" t="s">
        <v>1607</v>
      </c>
      <c r="L82" t="s">
        <v>1608</v>
      </c>
      <c r="M82" t="s">
        <v>1611</v>
      </c>
      <c r="N82" t="s">
        <v>1614</v>
      </c>
    </row>
    <row r="83" spans="1:15" ht="15" customHeight="1">
      <c r="A83" s="154" t="s">
        <v>175</v>
      </c>
      <c r="B83" s="154" t="s">
        <v>88</v>
      </c>
      <c r="C83" t="s">
        <v>1556</v>
      </c>
      <c r="D83" s="154" t="s">
        <v>177</v>
      </c>
      <c r="E83" s="155" t="str" cm="1">
        <f t="array" aca="1" ref="E83" ca="1">IF(C83="", INDIRECT("'"&amp;A83&amp;"'!B3"), INDEX(INDIRECT("'"&amp;A83&amp;"'!5:5"), COLUMN(INDIRECT("'"&amp;A83&amp;"'!"&amp;C83))))</f>
        <v>Premature Loan Repayments - Number</v>
      </c>
      <c r="F83" s="155" cm="1">
        <f t="array" aca="1" ref="F83" ca="1">IF(C83="", "", INDEX(INDIRECT("'"&amp;A83&amp;"'!3:3"), COLUMN(INDIRECT("'"&amp;A83&amp;"'!"&amp;C83))))</f>
        <v>0</v>
      </c>
      <c r="G83" s="154" t="str" cm="1">
        <f t="array" aca="1" ref="G83" ca="1">IF(C83="", "", INDEX(INDIRECT("'"&amp;A83&amp;"'!8:8"), COLUMN(INDIRECT("'"&amp;A83&amp;"'!"&amp;C83))))</f>
        <v>Integer</v>
      </c>
      <c r="H83" s="154" t="str" cm="1">
        <f t="array" aca="1" ref="H83" ca="1">IF(C83="","",T(INDIRECT("'"&amp;A83&amp;"'!"&amp;ADDRESS(7, COLUMN(INDIRECT("'"&amp;A83&amp;"'!"&amp;C83))))))</f>
        <v>Flow</v>
      </c>
      <c r="I83" s="154" t="str" cm="1">
        <f t="array" aca="1" ref="I83" ca="1">IF(C83="","",T(INDIRECT("'"&amp;A83&amp;"'!"&amp;ADDRESS(9, COLUMN(INDIRECT("'"&amp;A83&amp;"'!"&amp;C83))))))</f>
        <v/>
      </c>
      <c r="J83" t="s">
        <v>1602</v>
      </c>
      <c r="K83" t="s">
        <v>1607</v>
      </c>
      <c r="L83" t="s">
        <v>1608</v>
      </c>
      <c r="M83" t="s">
        <v>1611</v>
      </c>
      <c r="N83" t="s">
        <v>1615</v>
      </c>
    </row>
    <row r="84" spans="1:15" ht="15" customHeight="1">
      <c r="A84" s="154" t="s">
        <v>175</v>
      </c>
      <c r="B84" s="154" t="s">
        <v>89</v>
      </c>
      <c r="C84" t="s">
        <v>1557</v>
      </c>
      <c r="D84" s="154" t="s">
        <v>177</v>
      </c>
      <c r="E84" s="155" t="str" cm="1">
        <f t="array" aca="1" ref="E84" ca="1">IF(C84="", INDIRECT("'"&amp;A84&amp;"'!B3"), INDEX(INDIRECT("'"&amp;A84&amp;"'!5:5"), COLUMN(INDIRECT("'"&amp;A84&amp;"'!"&amp;C84))))</f>
        <v>Loan Repayments from Non-EEA Countries</v>
      </c>
      <c r="F84" s="155" cm="1">
        <f t="array" aca="1" ref="F84" ca="1">IF(C84="", "", INDEX(INDIRECT("'"&amp;A84&amp;"'!3:3"), COLUMN(INDIRECT("'"&amp;A84&amp;"'!"&amp;C84))))</f>
        <v>0</v>
      </c>
      <c r="G84" s="154" t="str" cm="1">
        <f t="array" aca="1" ref="G84" ca="1">IF(C84="", "", INDEX(INDIRECT("'"&amp;A84&amp;"'!8:8"), COLUMN(INDIRECT("'"&amp;A84&amp;"'!"&amp;C84))))</f>
        <v>Integer</v>
      </c>
      <c r="H84" s="154" t="str" cm="1">
        <f t="array" aca="1" ref="H84" ca="1">IF(C84="","",T(INDIRECT("'"&amp;A84&amp;"'!"&amp;ADDRESS(7, COLUMN(INDIRECT("'"&amp;A84&amp;"'!"&amp;C84))))))</f>
        <v>Flow</v>
      </c>
      <c r="I84" s="154" t="str" cm="1">
        <f t="array" aca="1" ref="I84" ca="1">IF(C84="","",T(INDIRECT("'"&amp;A84&amp;"'!"&amp;ADDRESS(9, COLUMN(INDIRECT("'"&amp;A84&amp;"'!"&amp;C84))))))</f>
        <v/>
      </c>
      <c r="J84" t="s">
        <v>1602</v>
      </c>
      <c r="K84" t="s">
        <v>1607</v>
      </c>
      <c r="L84" t="s">
        <v>1608</v>
      </c>
      <c r="M84" t="s">
        <v>1611</v>
      </c>
      <c r="N84" t="s">
        <v>1614</v>
      </c>
      <c r="O84" t="s">
        <v>1588</v>
      </c>
    </row>
    <row r="85" spans="1:15" ht="15" customHeight="1">
      <c r="A85" s="154" t="s">
        <v>175</v>
      </c>
      <c r="B85" s="154" t="s">
        <v>90</v>
      </c>
      <c r="C85" t="s">
        <v>1558</v>
      </c>
      <c r="D85" s="154" t="s">
        <v>177</v>
      </c>
      <c r="E85" s="155" t="str" cm="1">
        <f t="array" aca="1" ref="E85" ca="1">IF(C85="", INDIRECT("'"&amp;A85&amp;"'!B3"), INDEX(INDIRECT("'"&amp;A85&amp;"'!5:5"), COLUMN(INDIRECT("'"&amp;A85&amp;"'!"&amp;C85))))</f>
        <v>Unspecified Consumer Loans - Number</v>
      </c>
      <c r="F85" s="155" cm="1">
        <f t="array" aca="1" ref="F85" ca="1">IF(C85="", "", INDEX(INDIRECT("'"&amp;A85&amp;"'!3:3"), COLUMN(INDIRECT("'"&amp;A85&amp;"'!"&amp;C85))))</f>
        <v>0</v>
      </c>
      <c r="G85" s="154" t="str" cm="1">
        <f t="array" aca="1" ref="G85" ca="1">IF(C85="", "", INDEX(INDIRECT("'"&amp;A85&amp;"'!8:8"), COLUMN(INDIRECT("'"&amp;A85&amp;"'!"&amp;C85))))</f>
        <v>Integer</v>
      </c>
      <c r="H85" s="154" t="str" cm="1">
        <f t="array" aca="1" ref="H85" ca="1">IF(C85="","",T(INDIRECT("'"&amp;A85&amp;"'!"&amp;ADDRESS(7, COLUMN(INDIRECT("'"&amp;A85&amp;"'!"&amp;C85))))))</f>
        <v>Flow</v>
      </c>
      <c r="I85" s="154" t="str" cm="1">
        <f t="array" aca="1" ref="I85" ca="1">IF(C85="","",T(INDIRECT("'"&amp;A85&amp;"'!"&amp;ADDRESS(9, COLUMN(INDIRECT("'"&amp;A85&amp;"'!"&amp;C85))))))</f>
        <v/>
      </c>
      <c r="J85" t="s">
        <v>1602</v>
      </c>
      <c r="K85" t="s">
        <v>1607</v>
      </c>
      <c r="L85" t="s">
        <v>1616</v>
      </c>
      <c r="M85" t="s">
        <v>1611</v>
      </c>
      <c r="N85" t="s">
        <v>1617</v>
      </c>
    </row>
    <row r="86" spans="1:15" ht="15" customHeight="1">
      <c r="A86" s="154" t="s">
        <v>175</v>
      </c>
      <c r="B86" s="154" t="s">
        <v>91</v>
      </c>
      <c r="C86" t="s">
        <v>1559</v>
      </c>
      <c r="D86" s="154" t="s">
        <v>178</v>
      </c>
      <c r="E86" s="155" t="str" cm="1">
        <f t="array" aca="1" ref="E86" ca="1">IF(C86="", INDIRECT("'"&amp;A86&amp;"'!B3"), INDEX(INDIRECT("'"&amp;A86&amp;"'!5:5"), COLUMN(INDIRECT("'"&amp;A86&amp;"'!"&amp;C86))))</f>
        <v>Factoring Contracts Granted - Number</v>
      </c>
      <c r="F86" s="155" cm="1">
        <f t="array" aca="1" ref="F86" ca="1">IF(C86="", "", INDEX(INDIRECT("'"&amp;A86&amp;"'!3:3"), COLUMN(INDIRECT("'"&amp;A86&amp;"'!"&amp;C86))))</f>
        <v>0</v>
      </c>
      <c r="G86" s="154" t="str" cm="1">
        <f t="array" aca="1" ref="G86" ca="1">IF(C86="", "", INDEX(INDIRECT("'"&amp;A86&amp;"'!8:8"), COLUMN(INDIRECT("'"&amp;A86&amp;"'!"&amp;C86))))</f>
        <v>Integer</v>
      </c>
      <c r="H86" s="154" t="str" cm="1">
        <f t="array" aca="1" ref="H86" ca="1">IF(C86="","",T(INDIRECT("'"&amp;A86&amp;"'!"&amp;ADDRESS(7, COLUMN(INDIRECT("'"&amp;A86&amp;"'!"&amp;C86))))))</f>
        <v>Flow</v>
      </c>
      <c r="I86" s="154" t="str" cm="1">
        <f t="array" aca="1" ref="I86" ca="1">IF(C86="","",T(INDIRECT("'"&amp;A86&amp;"'!"&amp;ADDRESS(9, COLUMN(INDIRECT("'"&amp;A86&amp;"'!"&amp;C86))))))</f>
        <v/>
      </c>
      <c r="J86" t="s">
        <v>1602</v>
      </c>
      <c r="K86" t="s">
        <v>1607</v>
      </c>
      <c r="L86" t="s">
        <v>1618</v>
      </c>
      <c r="M86" t="s">
        <v>1611</v>
      </c>
    </row>
    <row r="87" spans="1:15" ht="15" customHeight="1">
      <c r="A87" s="154" t="s">
        <v>175</v>
      </c>
      <c r="B87" s="154" t="s">
        <v>92</v>
      </c>
      <c r="C87" t="s">
        <v>1560</v>
      </c>
      <c r="D87" s="154" t="s">
        <v>178</v>
      </c>
      <c r="E87" s="155" t="str" cm="1">
        <f t="array" aca="1" ref="E87" ca="1">IF(C87="", INDIRECT("'"&amp;A87&amp;"'!B3"), INDEX(INDIRECT("'"&amp;A87&amp;"'!5:5"), COLUMN(INDIRECT("'"&amp;A87&amp;"'!"&amp;C87))))</f>
        <v>Factoring Contracts Granted - Value</v>
      </c>
      <c r="F87" s="155" cm="1">
        <f t="array" aca="1" ref="F87" ca="1">IF(C87="", "", INDEX(INDIRECT("'"&amp;A87&amp;"'!3:3"), COLUMN(INDIRECT("'"&amp;A87&amp;"'!"&amp;C87))))</f>
        <v>0</v>
      </c>
      <c r="G87" s="154" t="str" cm="1">
        <f t="array" aca="1" ref="G87" ca="1">IF(C87="", "", INDEX(INDIRECT("'"&amp;A87&amp;"'!8:8"), COLUMN(INDIRECT("'"&amp;A87&amp;"'!"&amp;C87))))</f>
        <v>Monetary</v>
      </c>
      <c r="H87" s="154" t="str" cm="1">
        <f t="array" aca="1" ref="H87" ca="1">IF(C87="","",T(INDIRECT("'"&amp;A87&amp;"'!"&amp;ADDRESS(7, COLUMN(INDIRECT("'"&amp;A87&amp;"'!"&amp;C87))))))</f>
        <v>Flow</v>
      </c>
      <c r="I87" s="154" t="str" cm="1">
        <f t="array" aca="1" ref="I87" ca="1">IF(C87="","",T(INDIRECT("'"&amp;A87&amp;"'!"&amp;ADDRESS(9, COLUMN(INDIRECT("'"&amp;A87&amp;"'!"&amp;C87))))))</f>
        <v/>
      </c>
      <c r="J87" t="s">
        <v>1609</v>
      </c>
      <c r="K87" t="s">
        <v>1607</v>
      </c>
      <c r="L87" t="s">
        <v>1618</v>
      </c>
      <c r="M87" t="s">
        <v>1611</v>
      </c>
    </row>
    <row r="88" spans="1:15" ht="15" customHeight="1">
      <c r="A88" s="154" t="s">
        <v>175</v>
      </c>
      <c r="B88" s="154" t="s">
        <v>93</v>
      </c>
      <c r="C88" t="s">
        <v>1561</v>
      </c>
      <c r="D88" s="154" t="s">
        <v>178</v>
      </c>
      <c r="E88" s="155" t="str" cm="1">
        <f t="array" aca="1" ref="E88" ca="1">IF(C88="", INDIRECT("'"&amp;A88&amp;"'!B3"), INDEX(INDIRECT("'"&amp;A88&amp;"'!5:5"), COLUMN(INDIRECT("'"&amp;A88&amp;"'!"&amp;C88))))</f>
        <v>Factoring Contracts to Non-EEA Obligors - Value</v>
      </c>
      <c r="F88" s="155" cm="1">
        <f t="array" aca="1" ref="F88" ca="1">IF(C88="", "", INDEX(INDIRECT("'"&amp;A88&amp;"'!3:3"), COLUMN(INDIRECT("'"&amp;A88&amp;"'!"&amp;C88))))</f>
        <v>0</v>
      </c>
      <c r="G88" s="154" t="str" cm="1">
        <f t="array" aca="1" ref="G88" ca="1">IF(C88="", "", INDEX(INDIRECT("'"&amp;A88&amp;"'!8:8"), COLUMN(INDIRECT("'"&amp;A88&amp;"'!"&amp;C88))))</f>
        <v>Monetary</v>
      </c>
      <c r="H88" s="154" t="str" cm="1">
        <f t="array" aca="1" ref="H88" ca="1">IF(C88="","",T(INDIRECT("'"&amp;A88&amp;"'!"&amp;ADDRESS(7, COLUMN(INDIRECT("'"&amp;A88&amp;"'!"&amp;C88))))))</f>
        <v>Flow</v>
      </c>
      <c r="I88" s="154" t="str" cm="1">
        <f t="array" aca="1" ref="I88" ca="1">IF(C88="","",T(INDIRECT("'"&amp;A88&amp;"'!"&amp;ADDRESS(9, COLUMN(INDIRECT("'"&amp;A88&amp;"'!"&amp;C88))))))</f>
        <v/>
      </c>
      <c r="J88" t="s">
        <v>1609</v>
      </c>
      <c r="K88" t="s">
        <v>1607</v>
      </c>
      <c r="L88" t="s">
        <v>1618</v>
      </c>
      <c r="M88" t="s">
        <v>1611</v>
      </c>
      <c r="N88" t="s">
        <v>1619</v>
      </c>
    </row>
    <row r="89" spans="1:15" ht="15" customHeight="1">
      <c r="A89" s="154" t="s">
        <v>192</v>
      </c>
      <c r="E89" s="155" cm="1">
        <f t="array" aca="1" ref="E89" ca="1">IF(C89="", INDIRECT("'"&amp;A89&amp;"'!B3"), INDEX(INDIRECT("'"&amp;A89&amp;"'!5:5"), COLUMN(INDIRECT("'"&amp;A89&amp;"'!"&amp;C89))))</f>
        <v>0</v>
      </c>
      <c r="F89" s="155" t="str" cm="1">
        <f t="array" aca="1" ref="F89" ca="1">IF(C89="", "", INDEX(INDIRECT("'"&amp;A89&amp;"'!3:3"), COLUMN(INDIRECT("'"&amp;A89&amp;"'!"&amp;C89))))</f>
        <v/>
      </c>
      <c r="G89" s="154" t="str" cm="1">
        <f t="array" aca="1" ref="G89" ca="1">IF(C89="", "", INDEX(INDIRECT("'"&amp;A89&amp;"'!8:8"), COLUMN(INDIRECT("'"&amp;A89&amp;"'!"&amp;C89))))</f>
        <v/>
      </c>
      <c r="H89" s="154" t="str" cm="1">
        <f t="array" aca="1" ref="H89" ca="1">IF(C89="","",T(INDIRECT("'"&amp;A89&amp;"'!"&amp;ADDRESS(7, COLUMN(INDIRECT("'"&amp;A89&amp;"'!"&amp;C89))))))</f>
        <v/>
      </c>
      <c r="I89" s="154" t="str" cm="1">
        <f t="array" aca="1" ref="I89" ca="1">IF(C89="","",T(INDIRECT("'"&amp;A89&amp;"'!"&amp;ADDRESS(9, COLUMN(INDIRECT("'"&amp;A89&amp;"'!"&amp;C89))))))</f>
        <v/>
      </c>
    </row>
    <row r="90" spans="1:15" ht="15" customHeight="1">
      <c r="A90" s="154" t="s">
        <v>192</v>
      </c>
      <c r="B90" s="154" t="s">
        <v>81</v>
      </c>
      <c r="C90" t="s">
        <v>1549</v>
      </c>
      <c r="D90" s="154" t="s">
        <v>63</v>
      </c>
      <c r="E90" s="155" t="str" cm="1">
        <f t="array" aca="1" ref="E90" ca="1">IF(C90="", INDIRECT("'"&amp;A90&amp;"'!B3"), INDEX(INDIRECT("'"&amp;A90&amp;"'!5:5"), COLUMN(INDIRECT("'"&amp;A90&amp;"'!"&amp;C90))))</f>
        <v>Gross Written Premiums - Value</v>
      </c>
      <c r="F90" s="155" cm="1">
        <f t="array" aca="1" ref="F90" ca="1">IF(C90="", "", INDEX(INDIRECT("'"&amp;A90&amp;"'!3:3"), COLUMN(INDIRECT("'"&amp;A90&amp;"'!"&amp;C90))))</f>
        <v>0</v>
      </c>
      <c r="G90" s="154" t="str" cm="1">
        <f t="array" aca="1" ref="G90" ca="1">IF(C90="", "", INDEX(INDIRECT("'"&amp;A90&amp;"'!8:8"), COLUMN(INDIRECT("'"&amp;A90&amp;"'!"&amp;C90))))</f>
        <v>Monetary</v>
      </c>
      <c r="H90" s="154" t="str" cm="1">
        <f t="array" aca="1" ref="H90" ca="1">IF(C90="","",T(INDIRECT("'"&amp;A90&amp;"'!"&amp;ADDRESS(7, COLUMN(INDIRECT("'"&amp;A90&amp;"'!"&amp;C90))))))</f>
        <v>Flow</v>
      </c>
      <c r="I90" s="154" t="str" cm="1">
        <f t="array" aca="1" ref="I90" ca="1">IF(C90="","",T(INDIRECT("'"&amp;A90&amp;"'!"&amp;ADDRESS(9, COLUMN(INDIRECT("'"&amp;A90&amp;"'!"&amp;C90))))))</f>
        <v/>
      </c>
      <c r="J90" t="s">
        <v>1620</v>
      </c>
      <c r="K90" t="s">
        <v>1595</v>
      </c>
      <c r="L90" t="s">
        <v>1582</v>
      </c>
      <c r="M90" t="s">
        <v>1621</v>
      </c>
    </row>
    <row r="91" spans="1:15" ht="15" customHeight="1">
      <c r="A91" s="154" t="s">
        <v>192</v>
      </c>
      <c r="B91" s="154" t="s">
        <v>82</v>
      </c>
      <c r="C91" t="s">
        <v>1550</v>
      </c>
      <c r="D91" s="154" t="s">
        <v>63</v>
      </c>
      <c r="E91" s="155" t="str" cm="1">
        <f t="array" aca="1" ref="E91" ca="1">IF(C91="", INDIRECT("'"&amp;A91&amp;"'!B3"), INDEX(INDIRECT("'"&amp;A91&amp;"'!5:5"), COLUMN(INDIRECT("'"&amp;A91&amp;"'!"&amp;C91))))</f>
        <v>Surrender Value of Insurance Contracts</v>
      </c>
      <c r="F91" s="155" cm="1">
        <f t="array" aca="1" ref="F91" ca="1">IF(C91="", "", INDEX(INDIRECT("'"&amp;A91&amp;"'!3:3"), COLUMN(INDIRECT("'"&amp;A91&amp;"'!"&amp;C91))))</f>
        <v>0</v>
      </c>
      <c r="G91" s="154" t="str" cm="1">
        <f t="array" aca="1" ref="G91" ca="1">IF(C91="", "", INDEX(INDIRECT("'"&amp;A91&amp;"'!8:8"), COLUMN(INDIRECT("'"&amp;A91&amp;"'!"&amp;C91))))</f>
        <v>Monetary</v>
      </c>
      <c r="H91" s="154" t="str" cm="1">
        <f t="array" aca="1" ref="H91" ca="1">IF(C91="","",T(INDIRECT("'"&amp;A91&amp;"'!"&amp;ADDRESS(7, COLUMN(INDIRECT("'"&amp;A91&amp;"'!"&amp;C91))))))</f>
        <v>Flow</v>
      </c>
      <c r="I91" s="154" t="str" cm="1">
        <f t="array" aca="1" ref="I91" ca="1">IF(C91="","",T(INDIRECT("'"&amp;A91&amp;"'!"&amp;ADDRESS(9, COLUMN(INDIRECT("'"&amp;A91&amp;"'!"&amp;C91))))))</f>
        <v/>
      </c>
      <c r="J91" t="s">
        <v>1594</v>
      </c>
      <c r="K91" t="s">
        <v>1582</v>
      </c>
      <c r="L91" t="s">
        <v>1621</v>
      </c>
    </row>
    <row r="92" spans="1:15" ht="15" customHeight="1">
      <c r="A92" s="154" t="s">
        <v>192</v>
      </c>
      <c r="B92" s="154" t="s">
        <v>83</v>
      </c>
      <c r="C92" t="s">
        <v>1551</v>
      </c>
      <c r="D92" s="154" t="s">
        <v>63</v>
      </c>
      <c r="E92" s="155" t="str" cm="1">
        <f t="array" aca="1" ref="E92" ca="1">IF(C92="", INDIRECT("'"&amp;A92&amp;"'!B3"), INDEX(INDIRECT("'"&amp;A92&amp;"'!5:5"), COLUMN(INDIRECT("'"&amp;A92&amp;"'!"&amp;C92))))</f>
        <v>Premiums Paid to Broker (%)</v>
      </c>
      <c r="F92" s="155" cm="1">
        <f t="array" aca="1" ref="F92" ca="1">IF(C92="", "", INDEX(INDIRECT("'"&amp;A92&amp;"'!3:3"), COLUMN(INDIRECT("'"&amp;A92&amp;"'!"&amp;C92))))</f>
        <v>0</v>
      </c>
      <c r="G92" s="154" t="str" cm="1">
        <f t="array" aca="1" ref="G92" ca="1">IF(C92="", "", INDEX(INDIRECT("'"&amp;A92&amp;"'!8:8"), COLUMN(INDIRECT("'"&amp;A92&amp;"'!"&amp;C92))))</f>
        <v>Percentage</v>
      </c>
      <c r="H92" s="154" t="str" cm="1">
        <f t="array" aca="1" ref="H92" ca="1">IF(C92="","",T(INDIRECT("'"&amp;A92&amp;"'!"&amp;ADDRESS(7, COLUMN(INDIRECT("'"&amp;A92&amp;"'!"&amp;C92))))))</f>
        <v>Flow</v>
      </c>
      <c r="I92" s="154" t="str" cm="1">
        <f t="array" aca="1" ref="I92" ca="1">IF(C92="","",T(INDIRECT("'"&amp;A92&amp;"'!"&amp;ADDRESS(9, COLUMN(INDIRECT("'"&amp;A92&amp;"'!"&amp;C92))))))</f>
        <v/>
      </c>
      <c r="J92" t="s">
        <v>1622</v>
      </c>
      <c r="K92" t="s">
        <v>1582</v>
      </c>
      <c r="L92" t="s">
        <v>1621</v>
      </c>
      <c r="M92" t="s">
        <v>1623</v>
      </c>
    </row>
    <row r="93" spans="1:15" ht="15" customHeight="1">
      <c r="A93" s="154" t="s">
        <v>192</v>
      </c>
      <c r="B93" s="154" t="s">
        <v>84</v>
      </c>
      <c r="C93" t="s">
        <v>1552</v>
      </c>
      <c r="D93" s="154" t="s">
        <v>63</v>
      </c>
      <c r="E93" s="155" t="str" cm="1">
        <f t="array" aca="1" ref="E93" ca="1">IF(C93="", INDIRECT("'"&amp;A93&amp;"'!B3"), INDEX(INDIRECT("'"&amp;A93&amp;"'!5:5"), COLUMN(INDIRECT("'"&amp;A93&amp;"'!"&amp;C93))))</f>
        <v>Non-low Risk Insurance Contracts - Number</v>
      </c>
      <c r="F93" s="155" cm="1">
        <f t="array" aca="1" ref="F93" ca="1">IF(C93="", "", INDEX(INDIRECT("'"&amp;A93&amp;"'!3:3"), COLUMN(INDIRECT("'"&amp;A93&amp;"'!"&amp;C93))))</f>
        <v>0</v>
      </c>
      <c r="G93" s="154" t="str" cm="1">
        <f t="array" aca="1" ref="G93" ca="1">IF(C93="", "", INDEX(INDIRECT("'"&amp;A93&amp;"'!8:8"), COLUMN(INDIRECT("'"&amp;A93&amp;"'!"&amp;C93))))</f>
        <v>Integer</v>
      </c>
      <c r="H93" s="154" t="str" cm="1">
        <f t="array" aca="1" ref="H93" ca="1">IF(C93="","",T(INDIRECT("'"&amp;A93&amp;"'!"&amp;ADDRESS(7, COLUMN(INDIRECT("'"&amp;A93&amp;"'!"&amp;C93))))))</f>
        <v>Stock</v>
      </c>
      <c r="I93" s="154" t="str" cm="1">
        <f t="array" aca="1" ref="I93" ca="1">IF(C93="","",T(INDIRECT("'"&amp;A93&amp;"'!"&amp;ADDRESS(9, COLUMN(INDIRECT("'"&amp;A93&amp;"'!"&amp;C93))))))</f>
        <v/>
      </c>
      <c r="J93" t="s">
        <v>1624</v>
      </c>
      <c r="K93" t="s">
        <v>1625</v>
      </c>
      <c r="L93" t="s">
        <v>1621</v>
      </c>
    </row>
    <row r="94" spans="1:15" ht="15" customHeight="1">
      <c r="A94" s="154" t="s">
        <v>199</v>
      </c>
      <c r="E94" s="155" cm="1">
        <f t="array" aca="1" ref="E94" ca="1">IF(C94="", INDIRECT("'"&amp;A94&amp;"'!B3"), INDEX(INDIRECT("'"&amp;A94&amp;"'!5:5"), COLUMN(INDIRECT("'"&amp;A94&amp;"'!"&amp;C94))))</f>
        <v>0</v>
      </c>
      <c r="F94" s="155" t="str" cm="1">
        <f t="array" aca="1" ref="F94" ca="1">IF(C94="", "", INDEX(INDIRECT("'"&amp;A94&amp;"'!3:3"), COLUMN(INDIRECT("'"&amp;A94&amp;"'!"&amp;C94))))</f>
        <v/>
      </c>
      <c r="G94" s="154" t="str" cm="1">
        <f t="array" aca="1" ref="G94" ca="1">IF(C94="", "", INDEX(INDIRECT("'"&amp;A94&amp;"'!8:8"), COLUMN(INDIRECT("'"&amp;A94&amp;"'!"&amp;C94))))</f>
        <v/>
      </c>
      <c r="H94" s="154" t="str" cm="1">
        <f t="array" aca="1" ref="H94" ca="1">IF(C94="","",T(INDIRECT("'"&amp;A94&amp;"'!"&amp;ADDRESS(7, COLUMN(INDIRECT("'"&amp;A94&amp;"'!"&amp;C94))))))</f>
        <v/>
      </c>
      <c r="I94" s="154" t="str" cm="1">
        <f t="array" aca="1" ref="I94" ca="1">IF(C94="","",T(INDIRECT("'"&amp;A94&amp;"'!"&amp;ADDRESS(9, COLUMN(INDIRECT("'"&amp;A94&amp;"'!"&amp;C94))))))</f>
        <v/>
      </c>
    </row>
    <row r="95" spans="1:15" ht="15" customHeight="1">
      <c r="A95" s="154" t="s">
        <v>199</v>
      </c>
      <c r="B95" s="154" t="s">
        <v>81</v>
      </c>
      <c r="C95" t="s">
        <v>1549</v>
      </c>
      <c r="D95" s="154" t="s">
        <v>201</v>
      </c>
      <c r="E95" s="155" t="str" cm="1">
        <f t="array" aca="1" ref="E95" ca="1">IF(C95="", INDIRECT("'"&amp;A95&amp;"'!B3"), INDEX(INDIRECT("'"&amp;A95&amp;"'!5:5"), COLUMN(INDIRECT("'"&amp;A95&amp;"'!"&amp;C95))))</f>
        <v>Currency Exchange - Sell (Number)</v>
      </c>
      <c r="F95" s="155" cm="1">
        <f t="array" aca="1" ref="F95" ca="1">IF(C95="", "", INDEX(INDIRECT("'"&amp;A95&amp;"'!3:3"), COLUMN(INDIRECT("'"&amp;A95&amp;"'!"&amp;C95))))</f>
        <v>0</v>
      </c>
      <c r="G95" s="154" t="str" cm="1">
        <f t="array" aca="1" ref="G95" ca="1">IF(C95="", "", INDEX(INDIRECT("'"&amp;A95&amp;"'!8:8"), COLUMN(INDIRECT("'"&amp;A95&amp;"'!"&amp;C95))))</f>
        <v>Integer</v>
      </c>
      <c r="H95" s="154" t="str" cm="1">
        <f t="array" aca="1" ref="H95" ca="1">IF(C95="","",T(INDIRECT("'"&amp;A95&amp;"'!"&amp;ADDRESS(7, COLUMN(INDIRECT("'"&amp;A95&amp;"'!"&amp;C95))))))</f>
        <v>Flow</v>
      </c>
      <c r="I95" s="154" t="str" cm="1">
        <f t="array" aca="1" ref="I95" ca="1">IF(C95="","",T(INDIRECT("'"&amp;A95&amp;"'!"&amp;ADDRESS(9, COLUMN(INDIRECT("'"&amp;A95&amp;"'!"&amp;C95))))))</f>
        <v/>
      </c>
      <c r="J95" t="s">
        <v>1596</v>
      </c>
      <c r="K95" t="s">
        <v>1611</v>
      </c>
      <c r="L95" t="s">
        <v>1626</v>
      </c>
      <c r="M95" t="s">
        <v>1627</v>
      </c>
    </row>
    <row r="96" spans="1:15" ht="15" customHeight="1">
      <c r="A96" s="154" t="s">
        <v>199</v>
      </c>
      <c r="B96" s="154" t="s">
        <v>82</v>
      </c>
      <c r="C96" t="s">
        <v>1550</v>
      </c>
      <c r="D96" s="154" t="s">
        <v>201</v>
      </c>
      <c r="E96" s="155" t="str" cm="1">
        <f t="array" aca="1" ref="E96" ca="1">IF(C96="", INDIRECT("'"&amp;A96&amp;"'!B3"), INDEX(INDIRECT("'"&amp;A96&amp;"'!5:5"), COLUMN(INDIRECT("'"&amp;A96&amp;"'!"&amp;C96))))</f>
        <v>Currency Exchange - Buy (Number)</v>
      </c>
      <c r="F96" s="155" cm="1">
        <f t="array" aca="1" ref="F96" ca="1">IF(C96="", "", INDEX(INDIRECT("'"&amp;A96&amp;"'!3:3"), COLUMN(INDIRECT("'"&amp;A96&amp;"'!"&amp;C96))))</f>
        <v>0</v>
      </c>
      <c r="G96" s="154" t="str" cm="1">
        <f t="array" aca="1" ref="G96" ca="1">IF(C96="", "", INDEX(INDIRECT("'"&amp;A96&amp;"'!8:8"), COLUMN(INDIRECT("'"&amp;A96&amp;"'!"&amp;C96))))</f>
        <v>Integer</v>
      </c>
      <c r="H96" s="154" t="str" cm="1">
        <f t="array" aca="1" ref="H96" ca="1">IF(C96="","",T(INDIRECT("'"&amp;A96&amp;"'!"&amp;ADDRESS(7, COLUMN(INDIRECT("'"&amp;A96&amp;"'!"&amp;C96))))))</f>
        <v>Flow</v>
      </c>
      <c r="I96" s="154" t="str" cm="1">
        <f t="array" aca="1" ref="I96" ca="1">IF(C96="","",T(INDIRECT("'"&amp;A96&amp;"'!"&amp;ADDRESS(9, COLUMN(INDIRECT("'"&amp;A96&amp;"'!"&amp;C96))))))</f>
        <v/>
      </c>
      <c r="J96" t="s">
        <v>1596</v>
      </c>
      <c r="K96" t="s">
        <v>1611</v>
      </c>
      <c r="L96" t="s">
        <v>1626</v>
      </c>
      <c r="M96" t="s">
        <v>1628</v>
      </c>
    </row>
    <row r="97" spans="1:14" ht="15" customHeight="1">
      <c r="A97" s="154" t="s">
        <v>199</v>
      </c>
      <c r="B97" s="154" t="s">
        <v>83</v>
      </c>
      <c r="C97" t="s">
        <v>1551</v>
      </c>
      <c r="D97" s="154" t="s">
        <v>201</v>
      </c>
      <c r="E97" s="155" t="str" cm="1">
        <f t="array" aca="1" ref="E97" ca="1">IF(C97="", INDIRECT("'"&amp;A97&amp;"'!B3"), INDEX(INDIRECT("'"&amp;A97&amp;"'!5:5"), COLUMN(INDIRECT("'"&amp;A97&amp;"'!"&amp;C97))))</f>
        <v>Currency Exchange - Sell &gt; EUR 1000 (Number)</v>
      </c>
      <c r="F97" s="155" cm="1">
        <f t="array" aca="1" ref="F97" ca="1">IF(C97="", "", INDEX(INDIRECT("'"&amp;A97&amp;"'!3:3"), COLUMN(INDIRECT("'"&amp;A97&amp;"'!"&amp;C97))))</f>
        <v>0</v>
      </c>
      <c r="G97" s="154" t="str" cm="1">
        <f t="array" aca="1" ref="G97" ca="1">IF(C97="", "", INDEX(INDIRECT("'"&amp;A97&amp;"'!8:8"), COLUMN(INDIRECT("'"&amp;A97&amp;"'!"&amp;C97))))</f>
        <v>Integer</v>
      </c>
      <c r="H97" s="154" t="str" cm="1">
        <f t="array" aca="1" ref="H97" ca="1">IF(C97="","",T(INDIRECT("'"&amp;A97&amp;"'!"&amp;ADDRESS(7, COLUMN(INDIRECT("'"&amp;A97&amp;"'!"&amp;C97))))))</f>
        <v>Flow</v>
      </c>
      <c r="I97" s="154" t="str" cm="1">
        <f t="array" aca="1" ref="I97" ca="1">IF(C97="","",T(INDIRECT("'"&amp;A97&amp;"'!"&amp;ADDRESS(9, COLUMN(INDIRECT("'"&amp;A97&amp;"'!"&amp;C97))))))</f>
        <v/>
      </c>
      <c r="J97" t="s">
        <v>1596</v>
      </c>
      <c r="K97" t="s">
        <v>1611</v>
      </c>
      <c r="L97" t="s">
        <v>1626</v>
      </c>
      <c r="M97" t="s">
        <v>1629</v>
      </c>
      <c r="N97" t="s">
        <v>1627</v>
      </c>
    </row>
    <row r="98" spans="1:14" ht="15" customHeight="1">
      <c r="A98" s="154" t="s">
        <v>199</v>
      </c>
      <c r="B98" s="154" t="s">
        <v>84</v>
      </c>
      <c r="C98" t="s">
        <v>1552</v>
      </c>
      <c r="D98" s="154" t="s">
        <v>201</v>
      </c>
      <c r="E98" s="155" t="str" cm="1">
        <f t="array" aca="1" ref="E98" ca="1">IF(C98="", INDIRECT("'"&amp;A98&amp;"'!B3"), INDEX(INDIRECT("'"&amp;A98&amp;"'!5:5"), COLUMN(INDIRECT("'"&amp;A98&amp;"'!"&amp;C98))))</f>
        <v>Currency Exchange - Buy &gt; EUR 1000 (Number)</v>
      </c>
      <c r="F98" s="155" cm="1">
        <f t="array" aca="1" ref="F98" ca="1">IF(C98="", "", INDEX(INDIRECT("'"&amp;A98&amp;"'!3:3"), COLUMN(INDIRECT("'"&amp;A98&amp;"'!"&amp;C98))))</f>
        <v>0</v>
      </c>
      <c r="G98" s="154" t="str" cm="1">
        <f t="array" aca="1" ref="G98" ca="1">IF(C98="", "", INDEX(INDIRECT("'"&amp;A98&amp;"'!8:8"), COLUMN(INDIRECT("'"&amp;A98&amp;"'!"&amp;C98))))</f>
        <v>Integer</v>
      </c>
      <c r="H98" s="154" t="str" cm="1">
        <f t="array" aca="1" ref="H98" ca="1">IF(C98="","",T(INDIRECT("'"&amp;A98&amp;"'!"&amp;ADDRESS(7, COLUMN(INDIRECT("'"&amp;A98&amp;"'!"&amp;C98))))))</f>
        <v>Flow</v>
      </c>
      <c r="I98" s="154" t="str" cm="1">
        <f t="array" aca="1" ref="I98" ca="1">IF(C98="","",T(INDIRECT("'"&amp;A98&amp;"'!"&amp;ADDRESS(9, COLUMN(INDIRECT("'"&amp;A98&amp;"'!"&amp;C98))))))</f>
        <v/>
      </c>
      <c r="J98" t="s">
        <v>1596</v>
      </c>
      <c r="K98" t="s">
        <v>1611</v>
      </c>
      <c r="L98" t="s">
        <v>1626</v>
      </c>
      <c r="M98" t="s">
        <v>1629</v>
      </c>
      <c r="N98" t="s">
        <v>1628</v>
      </c>
    </row>
    <row r="99" spans="1:14" ht="15" customHeight="1">
      <c r="A99" s="154" t="s">
        <v>199</v>
      </c>
      <c r="B99" s="154" t="s">
        <v>85</v>
      </c>
      <c r="C99" t="s">
        <v>1553</v>
      </c>
      <c r="D99" s="154" t="s">
        <v>201</v>
      </c>
      <c r="E99" s="155" t="str" cm="1">
        <f t="array" aca="1" ref="E99" ca="1">IF(C99="", INDIRECT("'"&amp;A99&amp;"'!B3"), INDEX(INDIRECT("'"&amp;A99&amp;"'!5:5"), COLUMN(INDIRECT("'"&amp;A99&amp;"'!"&amp;C99))))</f>
        <v>Currency Exchange - Sell (Value)</v>
      </c>
      <c r="F99" s="155" cm="1">
        <f t="array" aca="1" ref="F99" ca="1">IF(C99="", "", INDEX(INDIRECT("'"&amp;A99&amp;"'!3:3"), COLUMN(INDIRECT("'"&amp;A99&amp;"'!"&amp;C99))))</f>
        <v>0</v>
      </c>
      <c r="G99" s="154" t="str" cm="1">
        <f t="array" aca="1" ref="G99" ca="1">IF(C99="", "", INDEX(INDIRECT("'"&amp;A99&amp;"'!8:8"), COLUMN(INDIRECT("'"&amp;A99&amp;"'!"&amp;C99))))</f>
        <v>Monetary</v>
      </c>
      <c r="H99" s="154" t="str" cm="1">
        <f t="array" aca="1" ref="H99" ca="1">IF(C99="","",T(INDIRECT("'"&amp;A99&amp;"'!"&amp;ADDRESS(7, COLUMN(INDIRECT("'"&amp;A99&amp;"'!"&amp;C99))))))</f>
        <v>Flow</v>
      </c>
      <c r="I99" s="154" t="str" cm="1">
        <f t="array" aca="1" ref="I99" ca="1">IF(C99="","",T(INDIRECT("'"&amp;A99&amp;"'!"&amp;ADDRESS(9, COLUMN(INDIRECT("'"&amp;A99&amp;"'!"&amp;C99))))))</f>
        <v/>
      </c>
      <c r="J99" t="s">
        <v>1594</v>
      </c>
      <c r="K99" t="s">
        <v>1611</v>
      </c>
      <c r="L99" t="s">
        <v>1626</v>
      </c>
      <c r="M99" t="s">
        <v>1627</v>
      </c>
    </row>
    <row r="100" spans="1:14" ht="15" customHeight="1">
      <c r="A100" s="154" t="s">
        <v>199</v>
      </c>
      <c r="B100" s="154" t="s">
        <v>86</v>
      </c>
      <c r="C100" t="s">
        <v>1554</v>
      </c>
      <c r="D100" s="154" t="s">
        <v>201</v>
      </c>
      <c r="E100" s="155" t="str" cm="1">
        <f t="array" aca="1" ref="E100" ca="1">IF(C100="", INDIRECT("'"&amp;A100&amp;"'!B3"), INDEX(INDIRECT("'"&amp;A100&amp;"'!5:5"), COLUMN(INDIRECT("'"&amp;A100&amp;"'!"&amp;C100))))</f>
        <v>Currency Exchange - Buy (Value)</v>
      </c>
      <c r="F100" s="155" cm="1">
        <f t="array" aca="1" ref="F100" ca="1">IF(C100="", "", INDEX(INDIRECT("'"&amp;A100&amp;"'!3:3"), COLUMN(INDIRECT("'"&amp;A100&amp;"'!"&amp;C100))))</f>
        <v>0</v>
      </c>
      <c r="G100" s="154" t="str" cm="1">
        <f t="array" aca="1" ref="G100" ca="1">IF(C100="", "", INDEX(INDIRECT("'"&amp;A100&amp;"'!8:8"), COLUMN(INDIRECT("'"&amp;A100&amp;"'!"&amp;C100))))</f>
        <v>Monetary</v>
      </c>
      <c r="H100" s="154" t="str" cm="1">
        <f t="array" aca="1" ref="H100" ca="1">IF(C100="","",T(INDIRECT("'"&amp;A100&amp;"'!"&amp;ADDRESS(7, COLUMN(INDIRECT("'"&amp;A100&amp;"'!"&amp;C100))))))</f>
        <v>Flow</v>
      </c>
      <c r="I100" s="154" t="str" cm="1">
        <f t="array" aca="1" ref="I100" ca="1">IF(C100="","",T(INDIRECT("'"&amp;A100&amp;"'!"&amp;ADDRESS(9, COLUMN(INDIRECT("'"&amp;A100&amp;"'!"&amp;C100))))))</f>
        <v/>
      </c>
      <c r="J100" t="s">
        <v>1594</v>
      </c>
      <c r="K100" t="s">
        <v>1611</v>
      </c>
      <c r="L100" t="s">
        <v>1626</v>
      </c>
      <c r="M100" t="s">
        <v>1628</v>
      </c>
    </row>
    <row r="101" spans="1:14" ht="15" customHeight="1">
      <c r="A101" s="154" t="s">
        <v>199</v>
      </c>
      <c r="B101" s="154" t="s">
        <v>87</v>
      </c>
      <c r="C101" t="s">
        <v>1555</v>
      </c>
      <c r="D101" s="154" t="s">
        <v>201</v>
      </c>
      <c r="E101" s="155" t="str" cm="1">
        <f t="array" aca="1" ref="E101" ca="1">IF(C101="", INDIRECT("'"&amp;A101&amp;"'!B3"), INDEX(INDIRECT("'"&amp;A101&amp;"'!5:5"), COLUMN(INDIRECT("'"&amp;A101&amp;"'!"&amp;C101))))</f>
        <v>Currency Exchange - Cash-to-Cash (Value)</v>
      </c>
      <c r="F101" s="155" cm="1">
        <f t="array" aca="1" ref="F101" ca="1">IF(C101="", "", INDEX(INDIRECT("'"&amp;A101&amp;"'!3:3"), COLUMN(INDIRECT("'"&amp;A101&amp;"'!"&amp;C101))))</f>
        <v>0</v>
      </c>
      <c r="G101" s="154" t="str" cm="1">
        <f t="array" aca="1" ref="G101" ca="1">IF(C101="", "", INDEX(INDIRECT("'"&amp;A101&amp;"'!8:8"), COLUMN(INDIRECT("'"&amp;A101&amp;"'!"&amp;C101))))</f>
        <v>Monetary</v>
      </c>
      <c r="H101" s="154" t="str" cm="1">
        <f t="array" aca="1" ref="H101" ca="1">IF(C101="","",T(INDIRECT("'"&amp;A101&amp;"'!"&amp;ADDRESS(7, COLUMN(INDIRECT("'"&amp;A101&amp;"'!"&amp;C101))))))</f>
        <v>Flow</v>
      </c>
      <c r="I101" s="154" t="str" cm="1">
        <f t="array" aca="1" ref="I101" ca="1">IF(C101="","",T(INDIRECT("'"&amp;A101&amp;"'!"&amp;ADDRESS(9, COLUMN(INDIRECT("'"&amp;A101&amp;"'!"&amp;C101))))))</f>
        <v/>
      </c>
      <c r="J101" t="s">
        <v>1594</v>
      </c>
      <c r="K101" t="s">
        <v>1611</v>
      </c>
      <c r="L101" t="s">
        <v>1626</v>
      </c>
      <c r="M101" t="s">
        <v>1630</v>
      </c>
    </row>
    <row r="102" spans="1:14" ht="15" customHeight="1">
      <c r="A102" s="154" t="s">
        <v>209</v>
      </c>
      <c r="E102" s="155" cm="1">
        <f t="array" aca="1" ref="E102" ca="1">IF(C102="", INDIRECT("'"&amp;A102&amp;"'!B3"), INDEX(INDIRECT("'"&amp;A102&amp;"'!5:5"), COLUMN(INDIRECT("'"&amp;A102&amp;"'!"&amp;C102))))</f>
        <v>0</v>
      </c>
      <c r="F102" s="155" t="str" cm="1">
        <f t="array" aca="1" ref="F102" ca="1">IF(C102="", "", INDEX(INDIRECT("'"&amp;A102&amp;"'!3:3"), COLUMN(INDIRECT("'"&amp;A102&amp;"'!"&amp;C102))))</f>
        <v/>
      </c>
      <c r="G102" s="154" t="str" cm="1">
        <f t="array" aca="1" ref="G102" ca="1">IF(C102="", "", INDEX(INDIRECT("'"&amp;A102&amp;"'!8:8"), COLUMN(INDIRECT("'"&amp;A102&amp;"'!"&amp;C102))))</f>
        <v/>
      </c>
      <c r="H102" s="154" t="str" cm="1">
        <f t="array" aca="1" ref="H102" ca="1">IF(C102="","",T(INDIRECT("'"&amp;A102&amp;"'!"&amp;ADDRESS(7, COLUMN(INDIRECT("'"&amp;A102&amp;"'!"&amp;C102))))))</f>
        <v/>
      </c>
      <c r="I102" s="154" t="str" cm="1">
        <f t="array" aca="1" ref="I102" ca="1">IF(C102="","",T(INDIRECT("'"&amp;A102&amp;"'!"&amp;ADDRESS(9, COLUMN(INDIRECT("'"&amp;A102&amp;"'!"&amp;C102))))))</f>
        <v/>
      </c>
    </row>
    <row r="103" spans="1:14" ht="15" customHeight="1">
      <c r="A103" s="154" t="s">
        <v>209</v>
      </c>
      <c r="B103" s="154" t="s">
        <v>81</v>
      </c>
      <c r="C103" t="s">
        <v>1549</v>
      </c>
      <c r="D103" s="154" t="s">
        <v>211</v>
      </c>
      <c r="E103" s="155" t="str" cm="1">
        <f t="array" aca="1" ref="E103" ca="1">IF(C103="", INDIRECT("'"&amp;A103&amp;"'!B3"), INDEX(INDIRECT("'"&amp;A103&amp;"'!5:5"), COLUMN(INDIRECT("'"&amp;A103&amp;"'!"&amp;C103))))</f>
        <v>Retail Clients (MiFID)</v>
      </c>
      <c r="F103" s="155" cm="1">
        <f t="array" aca="1" ref="F103" ca="1">IF(C103="", "", INDEX(INDIRECT("'"&amp;A103&amp;"'!3:3"), COLUMN(INDIRECT("'"&amp;A103&amp;"'!"&amp;C103))))</f>
        <v>0</v>
      </c>
      <c r="G103" s="154" t="str" cm="1">
        <f t="array" aca="1" ref="G103" ca="1">IF(C103="", "", INDEX(INDIRECT("'"&amp;A103&amp;"'!8:8"), COLUMN(INDIRECT("'"&amp;A103&amp;"'!"&amp;C103))))</f>
        <v>Integer</v>
      </c>
      <c r="H103" s="154" t="str" cm="1">
        <f t="array" aca="1" ref="H103" ca="1">IF(C103="","",T(INDIRECT("'"&amp;A103&amp;"'!"&amp;ADDRESS(7, COLUMN(INDIRECT("'"&amp;A103&amp;"'!"&amp;C103))))))</f>
        <v>Stock</v>
      </c>
      <c r="I103" s="154" t="str" cm="1">
        <f t="array" aca="1" ref="I103" ca="1">IF(C103="","",T(INDIRECT("'"&amp;A103&amp;"'!"&amp;ADDRESS(9, COLUMN(INDIRECT("'"&amp;A103&amp;"'!"&amp;C103))))))</f>
        <v/>
      </c>
      <c r="J103" t="s">
        <v>1578</v>
      </c>
      <c r="K103" t="s">
        <v>1631</v>
      </c>
      <c r="L103" t="s">
        <v>1632</v>
      </c>
    </row>
    <row r="104" spans="1:14" ht="15" customHeight="1">
      <c r="A104" s="154" t="s">
        <v>209</v>
      </c>
      <c r="B104" s="154" t="s">
        <v>82</v>
      </c>
      <c r="C104" t="s">
        <v>1550</v>
      </c>
      <c r="D104" s="154" t="s">
        <v>211</v>
      </c>
      <c r="E104" s="155" t="str" cm="1">
        <f t="array" aca="1" ref="E104" ca="1">IF(C104="", INDIRECT("'"&amp;A104&amp;"'!B3"), INDEX(INDIRECT("'"&amp;A104&amp;"'!5:5"), COLUMN(INDIRECT("'"&amp;A104&amp;"'!"&amp;C104))))</f>
        <v>Professional Clients (MiFID)</v>
      </c>
      <c r="F104" s="155" cm="1">
        <f t="array" aca="1" ref="F104" ca="1">IF(C104="", "", INDEX(INDIRECT("'"&amp;A104&amp;"'!3:3"), COLUMN(INDIRECT("'"&amp;A104&amp;"'!"&amp;C104))))</f>
        <v>0</v>
      </c>
      <c r="G104" s="154" t="str" cm="1">
        <f t="array" aca="1" ref="G104" ca="1">IF(C104="", "", INDEX(INDIRECT("'"&amp;A104&amp;"'!8:8"), COLUMN(INDIRECT("'"&amp;A104&amp;"'!"&amp;C104))))</f>
        <v>Integer</v>
      </c>
      <c r="H104" s="154" t="str" cm="1">
        <f t="array" aca="1" ref="H104" ca="1">IF(C104="","",T(INDIRECT("'"&amp;A104&amp;"'!"&amp;ADDRESS(7, COLUMN(INDIRECT("'"&amp;A104&amp;"'!"&amp;C104))))))</f>
        <v>Stock</v>
      </c>
      <c r="I104" s="154" t="str" cm="1">
        <f t="array" aca="1" ref="I104" ca="1">IF(C104="","",T(INDIRECT("'"&amp;A104&amp;"'!"&amp;ADDRESS(9, COLUMN(INDIRECT("'"&amp;A104&amp;"'!"&amp;C104))))))</f>
        <v/>
      </c>
      <c r="J104" t="s">
        <v>1578</v>
      </c>
      <c r="K104" t="s">
        <v>1631</v>
      </c>
      <c r="L104" t="s">
        <v>1633</v>
      </c>
    </row>
    <row r="105" spans="1:14" ht="15" customHeight="1">
      <c r="A105" s="154" t="s">
        <v>209</v>
      </c>
      <c r="B105" s="154" t="s">
        <v>83</v>
      </c>
      <c r="C105" t="s">
        <v>1551</v>
      </c>
      <c r="D105" s="154" t="s">
        <v>211</v>
      </c>
      <c r="E105" s="155" t="str" cm="1">
        <f t="array" aca="1" ref="E105" ca="1">IF(C105="", INDIRECT("'"&amp;A105&amp;"'!B3"), INDEX(INDIRECT("'"&amp;A105&amp;"'!5:5"), COLUMN(INDIRECT("'"&amp;A105&amp;"'!"&amp;C105))))</f>
        <v>Non-EEA AML/CFT Regulated Customers</v>
      </c>
      <c r="F105" s="155" cm="1">
        <f t="array" aca="1" ref="F105" ca="1">IF(C105="", "", INDEX(INDIRECT("'"&amp;A105&amp;"'!3:3"), COLUMN(INDIRECT("'"&amp;A105&amp;"'!"&amp;C105))))</f>
        <v>0</v>
      </c>
      <c r="G105" s="154" t="str" cm="1">
        <f t="array" aca="1" ref="G105" ca="1">IF(C105="", "", INDEX(INDIRECT("'"&amp;A105&amp;"'!8:8"), COLUMN(INDIRECT("'"&amp;A105&amp;"'!"&amp;C105))))</f>
        <v>Integer</v>
      </c>
      <c r="H105" s="154" t="str" cm="1">
        <f t="array" aca="1" ref="H105" ca="1">IF(C105="","",T(INDIRECT("'"&amp;A105&amp;"'!"&amp;ADDRESS(7, COLUMN(INDIRECT("'"&amp;A105&amp;"'!"&amp;C105))))))</f>
        <v>Stock</v>
      </c>
      <c r="I105" s="154" t="str" cm="1">
        <f t="array" aca="1" ref="I105" ca="1">IF(C105="","",T(INDIRECT("'"&amp;A105&amp;"'!"&amp;ADDRESS(9, COLUMN(INDIRECT("'"&amp;A105&amp;"'!"&amp;C105))))))</f>
        <v/>
      </c>
      <c r="J105" t="s">
        <v>1578</v>
      </c>
      <c r="K105" t="s">
        <v>1631</v>
      </c>
      <c r="L105" t="s">
        <v>1634</v>
      </c>
    </row>
    <row r="106" spans="1:14" ht="15" customHeight="1">
      <c r="A106" s="154" t="s">
        <v>209</v>
      </c>
      <c r="B106" s="154" t="s">
        <v>84</v>
      </c>
      <c r="C106" t="s">
        <v>1552</v>
      </c>
      <c r="D106" s="154" t="s">
        <v>212</v>
      </c>
      <c r="E106" s="155" t="str" cm="1">
        <f t="array" aca="1" ref="E106" ca="1">IF(C106="", INDIRECT("'"&amp;A106&amp;"'!B3"), INDEX(INDIRECT("'"&amp;A106&amp;"'!5:5"), COLUMN(INDIRECT("'"&amp;A106&amp;"'!"&amp;C106))))</f>
        <v>Retail Clients (MiFID)</v>
      </c>
      <c r="F106" s="155" cm="1">
        <f t="array" aca="1" ref="F106" ca="1">IF(C106="", "", INDEX(INDIRECT("'"&amp;A106&amp;"'!3:3"), COLUMN(INDIRECT("'"&amp;A106&amp;"'!"&amp;C106))))</f>
        <v>0</v>
      </c>
      <c r="G106" s="154" t="str" cm="1">
        <f t="array" aca="1" ref="G106" ca="1">IF(C106="", "", INDEX(INDIRECT("'"&amp;A106&amp;"'!8:8"), COLUMN(INDIRECT("'"&amp;A106&amp;"'!"&amp;C106))))</f>
        <v>Integer</v>
      </c>
      <c r="H106" s="154" t="str" cm="1">
        <f t="array" aca="1" ref="H106" ca="1">IF(C106="","",T(INDIRECT("'"&amp;A106&amp;"'!"&amp;ADDRESS(7, COLUMN(INDIRECT("'"&amp;A106&amp;"'!"&amp;C106))))))</f>
        <v>Stock</v>
      </c>
      <c r="I106" s="154" t="str" cm="1">
        <f t="array" aca="1" ref="I106" ca="1">IF(C106="","",T(INDIRECT("'"&amp;A106&amp;"'!"&amp;ADDRESS(9, COLUMN(INDIRECT("'"&amp;A106&amp;"'!"&amp;C106))))))</f>
        <v/>
      </c>
      <c r="J106" t="s">
        <v>1578</v>
      </c>
      <c r="K106" t="s">
        <v>1635</v>
      </c>
      <c r="L106" t="s">
        <v>1632</v>
      </c>
    </row>
    <row r="107" spans="1:14" ht="15" customHeight="1">
      <c r="A107" s="154" t="s">
        <v>209</v>
      </c>
      <c r="B107" s="154" t="s">
        <v>85</v>
      </c>
      <c r="C107" t="s">
        <v>1553</v>
      </c>
      <c r="D107" s="154" t="s">
        <v>212</v>
      </c>
      <c r="E107" s="155" t="str" cm="1">
        <f t="array" aca="1" ref="E107" ca="1">IF(C107="", INDIRECT("'"&amp;A107&amp;"'!B3"), INDEX(INDIRECT("'"&amp;A107&amp;"'!5:5"), COLUMN(INDIRECT("'"&amp;A107&amp;"'!"&amp;C107))))</f>
        <v>Professional Clients (MiFID)</v>
      </c>
      <c r="F107" s="155" cm="1">
        <f t="array" aca="1" ref="F107" ca="1">IF(C107="", "", INDEX(INDIRECT("'"&amp;A107&amp;"'!3:3"), COLUMN(INDIRECT("'"&amp;A107&amp;"'!"&amp;C107))))</f>
        <v>0</v>
      </c>
      <c r="G107" s="154" t="str" cm="1">
        <f t="array" aca="1" ref="G107" ca="1">IF(C107="", "", INDEX(INDIRECT("'"&amp;A107&amp;"'!8:8"), COLUMN(INDIRECT("'"&amp;A107&amp;"'!"&amp;C107))))</f>
        <v>Integer</v>
      </c>
      <c r="H107" s="154" t="str" cm="1">
        <f t="array" aca="1" ref="H107" ca="1">IF(C107="","",T(INDIRECT("'"&amp;A107&amp;"'!"&amp;ADDRESS(7, COLUMN(INDIRECT("'"&amp;A107&amp;"'!"&amp;C107))))))</f>
        <v>Stock</v>
      </c>
      <c r="I107" s="154" t="str" cm="1">
        <f t="array" aca="1" ref="I107" ca="1">IF(C107="","",T(INDIRECT("'"&amp;A107&amp;"'!"&amp;ADDRESS(9, COLUMN(INDIRECT("'"&amp;A107&amp;"'!"&amp;C107))))))</f>
        <v/>
      </c>
      <c r="J107" t="s">
        <v>1578</v>
      </c>
      <c r="K107" t="s">
        <v>1635</v>
      </c>
      <c r="L107" t="s">
        <v>1633</v>
      </c>
    </row>
    <row r="108" spans="1:14" ht="15" customHeight="1">
      <c r="A108" s="154" t="s">
        <v>209</v>
      </c>
      <c r="B108" s="154" t="s">
        <v>86</v>
      </c>
      <c r="C108" t="s">
        <v>1554</v>
      </c>
      <c r="D108" s="154" t="s">
        <v>212</v>
      </c>
      <c r="E108" s="155" t="str" cm="1">
        <f t="array" aca="1" ref="E108" ca="1">IF(C108="", INDIRECT("'"&amp;A108&amp;"'!B3"), INDEX(INDIRECT("'"&amp;A108&amp;"'!5:5"), COLUMN(INDIRECT("'"&amp;A108&amp;"'!"&amp;C108))))</f>
        <v>Indirect Custody Assets (%)</v>
      </c>
      <c r="F108" s="155" cm="1">
        <f t="array" aca="1" ref="F108" ca="1">IF(C108="", "", INDEX(INDIRECT("'"&amp;A108&amp;"'!3:3"), COLUMN(INDIRECT("'"&amp;A108&amp;"'!"&amp;C108))))</f>
        <v>0</v>
      </c>
      <c r="G108" s="154" t="str" cm="1">
        <f t="array" aca="1" ref="G108" ca="1">IF(C108="", "", INDEX(INDIRECT("'"&amp;A108&amp;"'!8:8"), COLUMN(INDIRECT("'"&amp;A108&amp;"'!"&amp;C108))))</f>
        <v>Percentage</v>
      </c>
      <c r="H108" s="154" t="str" cm="1">
        <f t="array" aca="1" ref="H108" ca="1">IF(C108="","",T(INDIRECT("'"&amp;A108&amp;"'!"&amp;ADDRESS(7, COLUMN(INDIRECT("'"&amp;A108&amp;"'!"&amp;C108))))))</f>
        <v>Stock</v>
      </c>
      <c r="I108" s="154" t="str" cm="1">
        <f t="array" aca="1" ref="I108" ca="1">IF(C108="","",T(INDIRECT("'"&amp;A108&amp;"'!"&amp;ADDRESS(9, COLUMN(INDIRECT("'"&amp;A108&amp;"'!"&amp;C108))))))</f>
        <v/>
      </c>
      <c r="J108" t="s">
        <v>1636</v>
      </c>
      <c r="K108" t="s">
        <v>1635</v>
      </c>
      <c r="L108" t="s">
        <v>1637</v>
      </c>
    </row>
    <row r="109" spans="1:14" ht="15" customHeight="1">
      <c r="A109" s="154" t="s">
        <v>209</v>
      </c>
      <c r="B109" s="154" t="s">
        <v>87</v>
      </c>
      <c r="C109" t="s">
        <v>1555</v>
      </c>
      <c r="D109" s="154" t="s">
        <v>212</v>
      </c>
      <c r="E109" s="155" t="str" cm="1">
        <f t="array" aca="1" ref="E109" ca="1">IF(C109="", INDIRECT("'"&amp;A109&amp;"'!B3"), INDEX(INDIRECT("'"&amp;A109&amp;"'!5:5"), COLUMN(INDIRECT("'"&amp;A109&amp;"'!"&amp;C109))))</f>
        <v>Non-EEA AML/CFT Regulated Customers</v>
      </c>
      <c r="F109" s="155" cm="1">
        <f t="array" aca="1" ref="F109" ca="1">IF(C109="", "", INDEX(INDIRECT("'"&amp;A109&amp;"'!3:3"), COLUMN(INDIRECT("'"&amp;A109&amp;"'!"&amp;C109))))</f>
        <v>0</v>
      </c>
      <c r="G109" s="154" t="str" cm="1">
        <f t="array" aca="1" ref="G109" ca="1">IF(C109="", "", INDEX(INDIRECT("'"&amp;A109&amp;"'!8:8"), COLUMN(INDIRECT("'"&amp;A109&amp;"'!"&amp;C109))))</f>
        <v>Integer</v>
      </c>
      <c r="H109" s="154" t="str" cm="1">
        <f t="array" aca="1" ref="H109" ca="1">IF(C109="","",T(INDIRECT("'"&amp;A109&amp;"'!"&amp;ADDRESS(7, COLUMN(INDIRECT("'"&amp;A109&amp;"'!"&amp;C109))))))</f>
        <v>Stock</v>
      </c>
      <c r="I109" s="154" t="str" cm="1">
        <f t="array" aca="1" ref="I109" ca="1">IF(C109="","",T(INDIRECT("'"&amp;A109&amp;"'!"&amp;ADDRESS(9, COLUMN(INDIRECT("'"&amp;A109&amp;"'!"&amp;C109))))))</f>
        <v/>
      </c>
      <c r="J109" t="s">
        <v>1578</v>
      </c>
      <c r="K109" t="s">
        <v>1635</v>
      </c>
      <c r="L109" t="s">
        <v>1634</v>
      </c>
    </row>
    <row r="110" spans="1:14" ht="15" customHeight="1">
      <c r="A110" s="154" t="s">
        <v>209</v>
      </c>
      <c r="B110" s="154" t="s">
        <v>88</v>
      </c>
      <c r="C110" t="s">
        <v>1556</v>
      </c>
      <c r="D110" s="154" t="s">
        <v>213</v>
      </c>
      <c r="E110" s="155" t="str" cm="1">
        <f t="array" aca="1" ref="E110" ca="1">IF(C110="", INDIRECT("'"&amp;A110&amp;"'!B3"), INDEX(INDIRECT("'"&amp;A110&amp;"'!5:5"), COLUMN(INDIRECT("'"&amp;A110&amp;"'!"&amp;C110))))</f>
        <v>Retail Clients (MiFID)</v>
      </c>
      <c r="F110" s="155" cm="1">
        <f t="array" aca="1" ref="F110" ca="1">IF(C110="", "", INDEX(INDIRECT("'"&amp;A110&amp;"'!3:3"), COLUMN(INDIRECT("'"&amp;A110&amp;"'!"&amp;C110))))</f>
        <v>0</v>
      </c>
      <c r="G110" s="154" t="str" cm="1">
        <f t="array" aca="1" ref="G110" ca="1">IF(C110="", "", INDEX(INDIRECT("'"&amp;A110&amp;"'!8:8"), COLUMN(INDIRECT("'"&amp;A110&amp;"'!"&amp;C110))))</f>
        <v>Integer</v>
      </c>
      <c r="H110" s="154" t="str" cm="1">
        <f t="array" aca="1" ref="H110" ca="1">IF(C110="","",T(INDIRECT("'"&amp;A110&amp;"'!"&amp;ADDRESS(7, COLUMN(INDIRECT("'"&amp;A110&amp;"'!"&amp;C110))))))</f>
        <v>Stock</v>
      </c>
      <c r="I110" s="154" t="str" cm="1">
        <f t="array" aca="1" ref="I110" ca="1">IF(C110="","",T(INDIRECT("'"&amp;A110&amp;"'!"&amp;ADDRESS(9, COLUMN(INDIRECT("'"&amp;A110&amp;"'!"&amp;C110))))))</f>
        <v/>
      </c>
      <c r="J110" t="s">
        <v>1578</v>
      </c>
      <c r="K110" t="s">
        <v>1638</v>
      </c>
      <c r="L110" t="s">
        <v>1632</v>
      </c>
    </row>
    <row r="111" spans="1:14" ht="15" customHeight="1">
      <c r="A111" s="154" t="s">
        <v>209</v>
      </c>
      <c r="B111" s="154" t="s">
        <v>89</v>
      </c>
      <c r="C111" t="s">
        <v>1557</v>
      </c>
      <c r="D111" s="154" t="s">
        <v>213</v>
      </c>
      <c r="E111" s="155" t="str" cm="1">
        <f t="array" aca="1" ref="E111" ca="1">IF(C111="", INDIRECT("'"&amp;A111&amp;"'!B3"), INDEX(INDIRECT("'"&amp;A111&amp;"'!5:5"), COLUMN(INDIRECT("'"&amp;A111&amp;"'!"&amp;C111))))</f>
        <v>Professional Clients (MiFID)</v>
      </c>
      <c r="F111" s="155" cm="1">
        <f t="array" aca="1" ref="F111" ca="1">IF(C111="", "", INDEX(INDIRECT("'"&amp;A111&amp;"'!3:3"), COLUMN(INDIRECT("'"&amp;A111&amp;"'!"&amp;C111))))</f>
        <v>0</v>
      </c>
      <c r="G111" s="154" t="str" cm="1">
        <f t="array" aca="1" ref="G111" ca="1">IF(C111="", "", INDEX(INDIRECT("'"&amp;A111&amp;"'!8:8"), COLUMN(INDIRECT("'"&amp;A111&amp;"'!"&amp;C111))))</f>
        <v>Integer</v>
      </c>
      <c r="H111" s="154" t="str" cm="1">
        <f t="array" aca="1" ref="H111" ca="1">IF(C111="","",T(INDIRECT("'"&amp;A111&amp;"'!"&amp;ADDRESS(7, COLUMN(INDIRECT("'"&amp;A111&amp;"'!"&amp;C111))))))</f>
        <v>Stock</v>
      </c>
      <c r="I111" s="154" t="str" cm="1">
        <f t="array" aca="1" ref="I111" ca="1">IF(C111="","",T(INDIRECT("'"&amp;A111&amp;"'!"&amp;ADDRESS(9, COLUMN(INDIRECT("'"&amp;A111&amp;"'!"&amp;C111))))))</f>
        <v/>
      </c>
      <c r="J111" t="s">
        <v>1578</v>
      </c>
      <c r="K111" t="s">
        <v>1638</v>
      </c>
      <c r="L111" t="s">
        <v>1633</v>
      </c>
    </row>
    <row r="112" spans="1:14" ht="15" customHeight="1">
      <c r="A112" s="154" t="s">
        <v>209</v>
      </c>
      <c r="B112" s="154" t="s">
        <v>90</v>
      </c>
      <c r="C112" t="s">
        <v>1558</v>
      </c>
      <c r="D112" s="154" t="s">
        <v>213</v>
      </c>
      <c r="E112" s="155" t="str" cm="1">
        <f t="array" aca="1" ref="E112" ca="1">IF(C112="", INDIRECT("'"&amp;A112&amp;"'!B3"), INDEX(INDIRECT("'"&amp;A112&amp;"'!5:5"), COLUMN(INDIRECT("'"&amp;A112&amp;"'!"&amp;C112))))</f>
        <v>Total assets under management</v>
      </c>
      <c r="F112" s="155" cm="1">
        <f t="array" aca="1" ref="F112" ca="1">IF(C112="", "", INDEX(INDIRECT("'"&amp;A112&amp;"'!3:3"), COLUMN(INDIRECT("'"&amp;A112&amp;"'!"&amp;C112))))</f>
        <v>0</v>
      </c>
      <c r="G112" s="154" t="str" cm="1">
        <f t="array" aca="1" ref="G112" ca="1">IF(C112="", "", INDEX(INDIRECT("'"&amp;A112&amp;"'!8:8"), COLUMN(INDIRECT("'"&amp;A112&amp;"'!"&amp;C112))))</f>
        <v>Monetary</v>
      </c>
      <c r="H112" s="154" t="str" cm="1">
        <f t="array" aca="1" ref="H112" ca="1">IF(C112="","",T(INDIRECT("'"&amp;A112&amp;"'!"&amp;ADDRESS(7, COLUMN(INDIRECT("'"&amp;A112&amp;"'!"&amp;C112))))))</f>
        <v>Stock</v>
      </c>
      <c r="I112" s="154" t="str" cm="1">
        <f t="array" aca="1" ref="I112" ca="1">IF(C112="","",T(INDIRECT("'"&amp;A112&amp;"'!"&amp;ADDRESS(9, COLUMN(INDIRECT("'"&amp;A112&amp;"'!"&amp;C112))))))</f>
        <v/>
      </c>
      <c r="J112" t="s">
        <v>1639</v>
      </c>
      <c r="K112" t="s">
        <v>1638</v>
      </c>
    </row>
    <row r="113" spans="1:14" ht="15" customHeight="1">
      <c r="A113" s="154" t="s">
        <v>209</v>
      </c>
      <c r="B113" s="154" t="s">
        <v>91</v>
      </c>
      <c r="C113" t="s">
        <v>1559</v>
      </c>
      <c r="D113" s="154" t="s">
        <v>213</v>
      </c>
      <c r="E113" s="155" t="str" cm="1">
        <f t="array" aca="1" ref="E113" ca="1">IF(C113="", INDIRECT("'"&amp;A113&amp;"'!B3"), INDEX(INDIRECT("'"&amp;A113&amp;"'!5:5"), COLUMN(INDIRECT("'"&amp;A113&amp;"'!"&amp;C113))))</f>
        <v>Customers with Assets &gt;= EUR 5M</v>
      </c>
      <c r="F113" s="155" cm="1">
        <f t="array" aca="1" ref="F113" ca="1">IF(C113="", "", INDEX(INDIRECT("'"&amp;A113&amp;"'!3:3"), COLUMN(INDIRECT("'"&amp;A113&amp;"'!"&amp;C113))))</f>
        <v>0</v>
      </c>
      <c r="G113" s="154" t="str" cm="1">
        <f t="array" aca="1" ref="G113" ca="1">IF(C113="", "", INDEX(INDIRECT("'"&amp;A113&amp;"'!8:8"), COLUMN(INDIRECT("'"&amp;A113&amp;"'!"&amp;C113))))</f>
        <v>Integer</v>
      </c>
      <c r="H113" s="154" t="str" cm="1">
        <f t="array" aca="1" ref="H113" ca="1">IF(C113="","",T(INDIRECT("'"&amp;A113&amp;"'!"&amp;ADDRESS(7, COLUMN(INDIRECT("'"&amp;A113&amp;"'!"&amp;C113))))))</f>
        <v>Stock</v>
      </c>
      <c r="I113" s="154" t="str" cm="1">
        <f t="array" aca="1" ref="I113" ca="1">IF(C113="","",T(INDIRECT("'"&amp;A113&amp;"'!"&amp;ADDRESS(9, COLUMN(INDIRECT("'"&amp;A113&amp;"'!"&amp;C113))))))</f>
        <v/>
      </c>
      <c r="J113" t="s">
        <v>1578</v>
      </c>
      <c r="K113" t="s">
        <v>1638</v>
      </c>
      <c r="L113" t="s">
        <v>1640</v>
      </c>
    </row>
    <row r="114" spans="1:14" ht="15" customHeight="1">
      <c r="A114" s="154" t="s">
        <v>220</v>
      </c>
      <c r="E114" s="155" cm="1">
        <f t="array" aca="1" ref="E114" ca="1">IF(C114="", INDIRECT("'"&amp;A114&amp;"'!B3"), INDEX(INDIRECT("'"&amp;A114&amp;"'!5:5"), COLUMN(INDIRECT("'"&amp;A114&amp;"'!"&amp;C114))))</f>
        <v>0</v>
      </c>
      <c r="F114" s="155" t="str" cm="1">
        <f t="array" aca="1" ref="F114" ca="1">IF(C114="", "", INDEX(INDIRECT("'"&amp;A114&amp;"'!3:3"), COLUMN(INDIRECT("'"&amp;A114&amp;"'!"&amp;C114))))</f>
        <v/>
      </c>
      <c r="G114" s="154" t="str" cm="1">
        <f t="array" aca="1" ref="G114" ca="1">IF(C114="", "", INDEX(INDIRECT("'"&amp;A114&amp;"'!8:8"), COLUMN(INDIRECT("'"&amp;A114&amp;"'!"&amp;C114))))</f>
        <v/>
      </c>
      <c r="H114" s="154" t="str" cm="1">
        <f t="array" aca="1" ref="H114" ca="1">IF(C114="","",T(INDIRECT("'"&amp;A114&amp;"'!"&amp;ADDRESS(7, COLUMN(INDIRECT("'"&amp;A114&amp;"'!"&amp;C114))))))</f>
        <v/>
      </c>
      <c r="I114" s="154" t="str" cm="1">
        <f t="array" aca="1" ref="I114" ca="1">IF(C114="","",T(INDIRECT("'"&amp;A114&amp;"'!"&amp;ADDRESS(9, COLUMN(INDIRECT("'"&amp;A114&amp;"'!"&amp;C114))))))</f>
        <v/>
      </c>
    </row>
    <row r="115" spans="1:14" ht="15" customHeight="1">
      <c r="A115" s="154" t="s">
        <v>220</v>
      </c>
      <c r="B115" s="154" t="s">
        <v>81</v>
      </c>
      <c r="C115" t="s">
        <v>1549</v>
      </c>
      <c r="D115" s="154" t="s">
        <v>67</v>
      </c>
      <c r="E115" s="155" t="str" cm="1">
        <f t="array" aca="1" ref="E115" ca="1">IF(C115="", INDIRECT("'"&amp;A115&amp;"'!B3"), INDEX(INDIRECT("'"&amp;A115&amp;"'!5:5"), COLUMN(INDIRECT("'"&amp;A115&amp;"'!"&amp;C115))))</f>
        <v>Money Remittance (Incoming) – Number</v>
      </c>
      <c r="F115" s="155" cm="1">
        <f t="array" aca="1" ref="F115" ca="1">IF(C115="", "", INDEX(INDIRECT("'"&amp;A115&amp;"'!3:3"), COLUMN(INDIRECT("'"&amp;A115&amp;"'!"&amp;C115))))</f>
        <v>0</v>
      </c>
      <c r="G115" s="154" t="str" cm="1">
        <f t="array" aca="1" ref="G115" ca="1">IF(C115="", "", INDEX(INDIRECT("'"&amp;A115&amp;"'!8:8"), COLUMN(INDIRECT("'"&amp;A115&amp;"'!"&amp;C115))))</f>
        <v>Integer</v>
      </c>
      <c r="H115" s="154" t="str" cm="1">
        <f t="array" aca="1" ref="H115" ca="1">IF(C115="","",T(INDIRECT("'"&amp;A115&amp;"'!"&amp;ADDRESS(7, COLUMN(INDIRECT("'"&amp;A115&amp;"'!"&amp;C115))))))</f>
        <v>Flow</v>
      </c>
      <c r="I115" s="154" t="str" cm="1">
        <f t="array" aca="1" ref="I115" ca="1">IF(C115="","",T(INDIRECT("'"&amp;A115&amp;"'!"&amp;ADDRESS(9, COLUMN(INDIRECT("'"&amp;A115&amp;"'!"&amp;C115))))))</f>
        <v/>
      </c>
      <c r="J115" t="s">
        <v>1596</v>
      </c>
      <c r="K115" t="s">
        <v>1611</v>
      </c>
      <c r="L115" t="s">
        <v>1595</v>
      </c>
      <c r="M115" t="s">
        <v>1641</v>
      </c>
    </row>
    <row r="116" spans="1:14" ht="15" customHeight="1">
      <c r="A116" s="154" t="s">
        <v>220</v>
      </c>
      <c r="B116" s="154" t="s">
        <v>82</v>
      </c>
      <c r="C116" t="s">
        <v>1550</v>
      </c>
      <c r="D116" s="154" t="s">
        <v>67</v>
      </c>
      <c r="E116" s="155" t="str" cm="1">
        <f t="array" aca="1" ref="E116" ca="1">IF(C116="", INDIRECT("'"&amp;A116&amp;"'!B3"), INDEX(INDIRECT("'"&amp;A116&amp;"'!5:5"), COLUMN(INDIRECT("'"&amp;A116&amp;"'!"&amp;C116))))</f>
        <v>Money Remittance (Outgoing) – Number</v>
      </c>
      <c r="F116" s="155" cm="1">
        <f t="array" aca="1" ref="F116" ca="1">IF(C116="", "", INDEX(INDIRECT("'"&amp;A116&amp;"'!3:3"), COLUMN(INDIRECT("'"&amp;A116&amp;"'!"&amp;C116))))</f>
        <v>0</v>
      </c>
      <c r="G116" s="154" t="str" cm="1">
        <f t="array" aca="1" ref="G116" ca="1">IF(C116="", "", INDEX(INDIRECT("'"&amp;A116&amp;"'!8:8"), COLUMN(INDIRECT("'"&amp;A116&amp;"'!"&amp;C116))))</f>
        <v>Integer</v>
      </c>
      <c r="H116" s="154" t="str" cm="1">
        <f t="array" aca="1" ref="H116" ca="1">IF(C116="","",T(INDIRECT("'"&amp;A116&amp;"'!"&amp;ADDRESS(7, COLUMN(INDIRECT("'"&amp;A116&amp;"'!"&amp;C116))))))</f>
        <v>Flow</v>
      </c>
      <c r="I116" s="154" t="str" cm="1">
        <f t="array" aca="1" ref="I116" ca="1">IF(C116="","",T(INDIRECT("'"&amp;A116&amp;"'!"&amp;ADDRESS(9, COLUMN(INDIRECT("'"&amp;A116&amp;"'!"&amp;C116))))))</f>
        <v/>
      </c>
      <c r="J116" t="s">
        <v>1596</v>
      </c>
      <c r="K116" t="s">
        <v>1611</v>
      </c>
      <c r="L116" t="s">
        <v>1597</v>
      </c>
      <c r="M116" t="s">
        <v>1641</v>
      </c>
    </row>
    <row r="117" spans="1:14" ht="15" customHeight="1">
      <c r="A117" s="154" t="s">
        <v>220</v>
      </c>
      <c r="B117" s="154" t="s">
        <v>83</v>
      </c>
      <c r="C117" t="s">
        <v>1551</v>
      </c>
      <c r="D117" s="154" t="s">
        <v>67</v>
      </c>
      <c r="E117" s="155" t="str" cm="1">
        <f t="array" aca="1" ref="E117" ca="1">IF(C117="", INDIRECT("'"&amp;A117&amp;"'!B3"), INDEX(INDIRECT("'"&amp;A117&amp;"'!5:5"), COLUMN(INDIRECT("'"&amp;A117&amp;"'!"&amp;C117))))</f>
        <v>Money Remittance (Incoming) - Value</v>
      </c>
      <c r="F117" s="155" cm="1">
        <f t="array" aca="1" ref="F117" ca="1">IF(C117="", "", INDEX(INDIRECT("'"&amp;A117&amp;"'!3:3"), COLUMN(INDIRECT("'"&amp;A117&amp;"'!"&amp;C117))))</f>
        <v>0</v>
      </c>
      <c r="G117" s="154" t="str" cm="1">
        <f t="array" aca="1" ref="G117" ca="1">IF(C117="", "", INDEX(INDIRECT("'"&amp;A117&amp;"'!8:8"), COLUMN(INDIRECT("'"&amp;A117&amp;"'!"&amp;C117))))</f>
        <v>Monetary</v>
      </c>
      <c r="H117" s="154" t="str" cm="1">
        <f t="array" aca="1" ref="H117" ca="1">IF(C117="","",T(INDIRECT("'"&amp;A117&amp;"'!"&amp;ADDRESS(7, COLUMN(INDIRECT("'"&amp;A117&amp;"'!"&amp;C117))))))</f>
        <v>Flow</v>
      </c>
      <c r="I117" s="154" t="str" cm="1">
        <f t="array" aca="1" ref="I117" ca="1">IF(C117="","",T(INDIRECT("'"&amp;A117&amp;"'!"&amp;ADDRESS(9, COLUMN(INDIRECT("'"&amp;A117&amp;"'!"&amp;C117))))))</f>
        <v/>
      </c>
      <c r="J117" t="s">
        <v>1594</v>
      </c>
      <c r="K117" t="s">
        <v>1611</v>
      </c>
      <c r="L117" t="s">
        <v>1595</v>
      </c>
      <c r="M117" t="s">
        <v>1641</v>
      </c>
    </row>
    <row r="118" spans="1:14" ht="15" customHeight="1">
      <c r="A118" s="154" t="s">
        <v>220</v>
      </c>
      <c r="B118" s="154" t="s">
        <v>84</v>
      </c>
      <c r="C118" t="s">
        <v>1552</v>
      </c>
      <c r="D118" s="154" t="s">
        <v>67</v>
      </c>
      <c r="E118" s="155" t="str" cm="1">
        <f t="array" aca="1" ref="E118" ca="1">IF(C118="", INDIRECT("'"&amp;A118&amp;"'!B3"), INDEX(INDIRECT("'"&amp;A118&amp;"'!5:5"), COLUMN(INDIRECT("'"&amp;A118&amp;"'!"&amp;C118))))</f>
        <v>Money Remittance (Outgoing) - Value</v>
      </c>
      <c r="F118" s="155" cm="1">
        <f t="array" aca="1" ref="F118" ca="1">IF(C118="", "", INDEX(INDIRECT("'"&amp;A118&amp;"'!3:3"), COLUMN(INDIRECT("'"&amp;A118&amp;"'!"&amp;C118))))</f>
        <v>0</v>
      </c>
      <c r="G118" s="154" t="str" cm="1">
        <f t="array" aca="1" ref="G118" ca="1">IF(C118="", "", INDEX(INDIRECT("'"&amp;A118&amp;"'!8:8"), COLUMN(INDIRECT("'"&amp;A118&amp;"'!"&amp;C118))))</f>
        <v>Monetary</v>
      </c>
      <c r="H118" s="154" t="str" cm="1">
        <f t="array" aca="1" ref="H118" ca="1">IF(C118="","",T(INDIRECT("'"&amp;A118&amp;"'!"&amp;ADDRESS(7, COLUMN(INDIRECT("'"&amp;A118&amp;"'!"&amp;C118))))))</f>
        <v>Flow</v>
      </c>
      <c r="I118" s="154" t="str" cm="1">
        <f t="array" aca="1" ref="I118" ca="1">IF(C118="","",T(INDIRECT("'"&amp;A118&amp;"'!"&amp;ADDRESS(9, COLUMN(INDIRECT("'"&amp;A118&amp;"'!"&amp;C118))))))</f>
        <v/>
      </c>
      <c r="J118" t="s">
        <v>1594</v>
      </c>
      <c r="K118" t="s">
        <v>1611</v>
      </c>
      <c r="L118" t="s">
        <v>1597</v>
      </c>
      <c r="M118" t="s">
        <v>1641</v>
      </c>
    </row>
    <row r="119" spans="1:14" ht="15" customHeight="1">
      <c r="A119" s="154" t="s">
        <v>220</v>
      </c>
      <c r="B119" s="154" t="s">
        <v>85</v>
      </c>
      <c r="C119" t="s">
        <v>1553</v>
      </c>
      <c r="D119" s="154" t="s">
        <v>67</v>
      </c>
      <c r="E119" s="155" t="str" cm="1">
        <f t="array" aca="1" ref="E119" ca="1">IF(C119="", INDIRECT("'"&amp;A119&amp;"'!B3"), INDEX(INDIRECT("'"&amp;A119&amp;"'!5:5"), COLUMN(INDIRECT("'"&amp;A119&amp;"'!"&amp;C119))))</f>
        <v>Money Remittance (Incoming) &gt; EUR 1000 - Number</v>
      </c>
      <c r="F119" s="155" cm="1">
        <f t="array" aca="1" ref="F119" ca="1">IF(C119="", "", INDEX(INDIRECT("'"&amp;A119&amp;"'!3:3"), COLUMN(INDIRECT("'"&amp;A119&amp;"'!"&amp;C119))))</f>
        <v>0</v>
      </c>
      <c r="G119" s="154" t="str" cm="1">
        <f t="array" aca="1" ref="G119" ca="1">IF(C119="", "", INDEX(INDIRECT("'"&amp;A119&amp;"'!8:8"), COLUMN(INDIRECT("'"&amp;A119&amp;"'!"&amp;C119))))</f>
        <v>Integer</v>
      </c>
      <c r="H119" s="154" t="str" cm="1">
        <f t="array" aca="1" ref="H119" ca="1">IF(C119="","",T(INDIRECT("'"&amp;A119&amp;"'!"&amp;ADDRESS(7, COLUMN(INDIRECT("'"&amp;A119&amp;"'!"&amp;C119))))))</f>
        <v>Flow</v>
      </c>
      <c r="I119" s="154" t="str" cm="1">
        <f t="array" aca="1" ref="I119" ca="1">IF(C119="","",T(INDIRECT("'"&amp;A119&amp;"'!"&amp;ADDRESS(9, COLUMN(INDIRECT("'"&amp;A119&amp;"'!"&amp;C119))))))</f>
        <v/>
      </c>
      <c r="J119" t="s">
        <v>1596</v>
      </c>
      <c r="K119" t="s">
        <v>1611</v>
      </c>
      <c r="L119" t="s">
        <v>1629</v>
      </c>
      <c r="M119" t="s">
        <v>1595</v>
      </c>
      <c r="N119" t="s">
        <v>1641</v>
      </c>
    </row>
    <row r="120" spans="1:14" ht="15" customHeight="1">
      <c r="A120" s="154" t="s">
        <v>220</v>
      </c>
      <c r="B120" s="154" t="s">
        <v>86</v>
      </c>
      <c r="C120" t="s">
        <v>1554</v>
      </c>
      <c r="D120" s="154" t="s">
        <v>67</v>
      </c>
      <c r="E120" s="155" t="str" cm="1">
        <f t="array" aca="1" ref="E120" ca="1">IF(C120="", INDIRECT("'"&amp;A120&amp;"'!B3"), INDEX(INDIRECT("'"&amp;A120&amp;"'!5:5"), COLUMN(INDIRECT("'"&amp;A120&amp;"'!"&amp;C120))))</f>
        <v>Money Remittance (Outgoing) &gt; EUR 1000 - Volume</v>
      </c>
      <c r="F120" s="155" cm="1">
        <f t="array" aca="1" ref="F120" ca="1">IF(C120="", "", INDEX(INDIRECT("'"&amp;A120&amp;"'!3:3"), COLUMN(INDIRECT("'"&amp;A120&amp;"'!"&amp;C120))))</f>
        <v>0</v>
      </c>
      <c r="G120" s="154" t="str" cm="1">
        <f t="array" aca="1" ref="G120" ca="1">IF(C120="", "", INDEX(INDIRECT("'"&amp;A120&amp;"'!8:8"), COLUMN(INDIRECT("'"&amp;A120&amp;"'!"&amp;C120))))</f>
        <v>Integer</v>
      </c>
      <c r="H120" s="154" t="str" cm="1">
        <f t="array" aca="1" ref="H120" ca="1">IF(C120="","",T(INDIRECT("'"&amp;A120&amp;"'!"&amp;ADDRESS(7, COLUMN(INDIRECT("'"&amp;A120&amp;"'!"&amp;C120))))))</f>
        <v>Flow</v>
      </c>
      <c r="I120" s="154" t="str" cm="1">
        <f t="array" aca="1" ref="I120" ca="1">IF(C120="","",T(INDIRECT("'"&amp;A120&amp;"'!"&amp;ADDRESS(9, COLUMN(INDIRECT("'"&amp;A120&amp;"'!"&amp;C120))))))</f>
        <v/>
      </c>
      <c r="J120" t="s">
        <v>1596</v>
      </c>
      <c r="K120" t="s">
        <v>1611</v>
      </c>
      <c r="L120" t="s">
        <v>1629</v>
      </c>
      <c r="M120" t="s">
        <v>1597</v>
      </c>
      <c r="N120" t="s">
        <v>1641</v>
      </c>
    </row>
    <row r="121" spans="1:14" ht="15" customHeight="1">
      <c r="A121" s="154" t="s">
        <v>228</v>
      </c>
      <c r="E121" s="155" cm="1">
        <f t="array" aca="1" ref="E121" ca="1">IF(C121="", INDIRECT("'"&amp;A121&amp;"'!B3"), INDEX(INDIRECT("'"&amp;A121&amp;"'!5:5"), COLUMN(INDIRECT("'"&amp;A121&amp;"'!"&amp;C121))))</f>
        <v>0</v>
      </c>
      <c r="F121" s="155" t="str" cm="1">
        <f t="array" aca="1" ref="F121" ca="1">IF(C121="", "", INDEX(INDIRECT("'"&amp;A121&amp;"'!3:3"), COLUMN(INDIRECT("'"&amp;A121&amp;"'!"&amp;C121))))</f>
        <v/>
      </c>
      <c r="G121" s="154" t="str" cm="1">
        <f t="array" aca="1" ref="G121" ca="1">IF(C121="", "", INDEX(INDIRECT("'"&amp;A121&amp;"'!8:8"), COLUMN(INDIRECT("'"&amp;A121&amp;"'!"&amp;C121))))</f>
        <v/>
      </c>
      <c r="H121" s="154" t="str" cm="1">
        <f t="array" aca="1" ref="H121" ca="1">IF(C121="","",T(INDIRECT("'"&amp;A121&amp;"'!"&amp;ADDRESS(7, COLUMN(INDIRECT("'"&amp;A121&amp;"'!"&amp;C121))))))</f>
        <v/>
      </c>
      <c r="I121" s="154" t="str" cm="1">
        <f t="array" aca="1" ref="I121" ca="1">IF(C121="","",T(INDIRECT("'"&amp;A121&amp;"'!"&amp;ADDRESS(9, COLUMN(INDIRECT("'"&amp;A121&amp;"'!"&amp;C121))))))</f>
        <v/>
      </c>
    </row>
    <row r="122" spans="1:14" ht="15" customHeight="1">
      <c r="A122" s="154" t="s">
        <v>228</v>
      </c>
      <c r="B122" s="154" t="s">
        <v>81</v>
      </c>
      <c r="C122" t="s">
        <v>1549</v>
      </c>
      <c r="D122" s="154" t="s">
        <v>68</v>
      </c>
      <c r="E122" s="155" t="str" cm="1">
        <f t="array" aca="1" ref="E122" ca="1">IF(C122="", INDIRECT("'"&amp;A122&amp;"'!B3"), INDEX(INDIRECT("'"&amp;A122&amp;"'!5:5"), COLUMN(INDIRECT("'"&amp;A122&amp;"'!"&amp;C122))))</f>
        <v>Customers with AUM &gt;= EUR 5M and total assets &gt;= EUR 50M</v>
      </c>
      <c r="F122" s="155" cm="1">
        <f t="array" aca="1" ref="F122" ca="1">IF(C122="", "", INDEX(INDIRECT("'"&amp;A122&amp;"'!3:3"), COLUMN(INDIRECT("'"&amp;A122&amp;"'!"&amp;C122))))</f>
        <v>0</v>
      </c>
      <c r="G122" s="154" t="str" cm="1">
        <f t="array" aca="1" ref="G122" ca="1">IF(C122="", "", INDEX(INDIRECT("'"&amp;A122&amp;"'!8:8"), COLUMN(INDIRECT("'"&amp;A122&amp;"'!"&amp;C122))))</f>
        <v>Integer</v>
      </c>
      <c r="H122" s="154" t="str" cm="1">
        <f t="array" aca="1" ref="H122" ca="1">IF(C122="","",T(INDIRECT("'"&amp;A122&amp;"'!"&amp;ADDRESS(7, COLUMN(INDIRECT("'"&amp;A122&amp;"'!"&amp;C122))))))</f>
        <v>Stock</v>
      </c>
      <c r="I122" s="154" t="str" cm="1">
        <f t="array" aca="1" ref="I122" ca="1">IF(C122="","",T(INDIRECT("'"&amp;A122&amp;"'!"&amp;ADDRESS(9, COLUMN(INDIRECT("'"&amp;A122&amp;"'!"&amp;C122))))))</f>
        <v/>
      </c>
      <c r="J122" t="s">
        <v>1578</v>
      </c>
      <c r="K122" t="s">
        <v>1579</v>
      </c>
      <c r="L122" t="s">
        <v>1642</v>
      </c>
      <c r="M122" t="s">
        <v>1643</v>
      </c>
      <c r="N122" t="s">
        <v>1644</v>
      </c>
    </row>
    <row r="123" spans="1:14" ht="15" customHeight="1">
      <c r="A123" s="154" t="s">
        <v>228</v>
      </c>
      <c r="B123" s="154" t="s">
        <v>82</v>
      </c>
      <c r="C123" t="s">
        <v>1550</v>
      </c>
      <c r="D123" s="154" t="s">
        <v>68</v>
      </c>
      <c r="E123" s="155" t="str" cm="1">
        <f t="array" aca="1" ref="E123" ca="1">IF(C123="", INDIRECT("'"&amp;A123&amp;"'!B3"), INDEX(INDIRECT("'"&amp;A123&amp;"'!5:5"), COLUMN(INDIRECT("'"&amp;A123&amp;"'!"&amp;C123))))</f>
        <v>Private Banking Customers (EBA)</v>
      </c>
      <c r="F123" s="155" cm="1">
        <f t="array" aca="1" ref="F123" ca="1">IF(C123="", "", INDEX(INDIRECT("'"&amp;A123&amp;"'!3:3"), COLUMN(INDIRECT("'"&amp;A123&amp;"'!"&amp;C123))))</f>
        <v>0</v>
      </c>
      <c r="G123" s="154" t="str" cm="1">
        <f t="array" aca="1" ref="G123" ca="1">IF(C123="", "", INDEX(INDIRECT("'"&amp;A123&amp;"'!8:8"), COLUMN(INDIRECT("'"&amp;A123&amp;"'!"&amp;C123))))</f>
        <v>Integer</v>
      </c>
      <c r="H123" s="154" t="str" cm="1">
        <f t="array" aca="1" ref="H123" ca="1">IF(C123="","",T(INDIRECT("'"&amp;A123&amp;"'!"&amp;ADDRESS(7, COLUMN(INDIRECT("'"&amp;A123&amp;"'!"&amp;C123))))))</f>
        <v>Stock</v>
      </c>
      <c r="I123" s="154" t="str" cm="1">
        <f t="array" aca="1" ref="I123" ca="1">IF(C123="","",T(INDIRECT("'"&amp;A123&amp;"'!"&amp;ADDRESS(9, COLUMN(INDIRECT("'"&amp;A123&amp;"'!"&amp;C123))))))</f>
        <v/>
      </c>
      <c r="J123" t="s">
        <v>1578</v>
      </c>
      <c r="K123" t="s">
        <v>1579</v>
      </c>
      <c r="L123" t="s">
        <v>1645</v>
      </c>
      <c r="M123" t="s">
        <v>1643</v>
      </c>
    </row>
    <row r="124" spans="1:14" ht="15" customHeight="1">
      <c r="A124" s="154" t="s">
        <v>232</v>
      </c>
      <c r="E124" s="155" cm="1">
        <f t="array" aca="1" ref="E124" ca="1">IF(C124="", INDIRECT("'"&amp;A124&amp;"'!B3"), INDEX(INDIRECT("'"&amp;A124&amp;"'!5:5"), COLUMN(INDIRECT("'"&amp;A124&amp;"'!"&amp;C124))))</f>
        <v>0</v>
      </c>
      <c r="F124" s="155" t="str" cm="1">
        <f t="array" aca="1" ref="F124" ca="1">IF(C124="", "", INDEX(INDIRECT("'"&amp;A124&amp;"'!3:3"), COLUMN(INDIRECT("'"&amp;A124&amp;"'!"&amp;C124))))</f>
        <v/>
      </c>
      <c r="G124" s="154" t="str" cm="1">
        <f t="array" aca="1" ref="G124" ca="1">IF(C124="", "", INDEX(INDIRECT("'"&amp;A124&amp;"'!8:8"), COLUMN(INDIRECT("'"&amp;A124&amp;"'!"&amp;C124))))</f>
        <v/>
      </c>
      <c r="H124" s="154" t="str" cm="1">
        <f t="array" aca="1" ref="H124" ca="1">IF(C124="","",T(INDIRECT("'"&amp;A124&amp;"'!"&amp;ADDRESS(7, COLUMN(INDIRECT("'"&amp;A124&amp;"'!"&amp;C124))))))</f>
        <v/>
      </c>
      <c r="I124" s="154" t="str" cm="1">
        <f t="array" aca="1" ref="I124" ca="1">IF(C124="","",T(INDIRECT("'"&amp;A124&amp;"'!"&amp;ADDRESS(9, COLUMN(INDIRECT("'"&amp;A124&amp;"'!"&amp;C124))))))</f>
        <v/>
      </c>
    </row>
    <row r="125" spans="1:14" ht="15" customHeight="1">
      <c r="A125" s="154" t="s">
        <v>232</v>
      </c>
      <c r="B125" s="154" t="s">
        <v>81</v>
      </c>
      <c r="C125" t="s">
        <v>1549</v>
      </c>
      <c r="D125" s="154" t="s">
        <v>69</v>
      </c>
      <c r="E125" s="155" t="str" cm="1">
        <f t="array" aca="1" ref="E125" ca="1">IF(C125="", INDIRECT("'"&amp;A125&amp;"'!B3"), INDEX(INDIRECT("'"&amp;A125&amp;"'!5:5"), COLUMN(INDIRECT("'"&amp;A125&amp;"'!"&amp;C125))))</f>
        <v>Respondent Client Transactions (Incoming) - Value</v>
      </c>
      <c r="F125" s="155" cm="1">
        <f t="array" aca="1" ref="F125" ca="1">IF(C125="", "", INDEX(INDIRECT("'"&amp;A125&amp;"'!3:3"), COLUMN(INDIRECT("'"&amp;A125&amp;"'!"&amp;C125))))</f>
        <v>0</v>
      </c>
      <c r="G125" s="154" t="str" cm="1">
        <f t="array" aca="1" ref="G125" ca="1">IF(C125="", "", INDEX(INDIRECT("'"&amp;A125&amp;"'!8:8"), COLUMN(INDIRECT("'"&amp;A125&amp;"'!"&amp;C125))))</f>
        <v>Monetary</v>
      </c>
      <c r="H125" s="154" t="str" cm="1">
        <f t="array" aca="1" ref="H125" ca="1">IF(C125="","",T(INDIRECT("'"&amp;A125&amp;"'!"&amp;ADDRESS(7, COLUMN(INDIRECT("'"&amp;A125&amp;"'!"&amp;C125))))))</f>
        <v>Flow</v>
      </c>
      <c r="I125" s="154" t="str" cm="1">
        <f t="array" aca="1" ref="I125" ca="1">IF(C125="","",T(INDIRECT("'"&amp;A125&amp;"'!"&amp;ADDRESS(9, COLUMN(INDIRECT("'"&amp;A125&amp;"'!"&amp;C125))))))</f>
        <v/>
      </c>
      <c r="J125" t="s">
        <v>1594</v>
      </c>
      <c r="K125" t="s">
        <v>1595</v>
      </c>
      <c r="L125" t="s">
        <v>1611</v>
      </c>
      <c r="M125" t="s">
        <v>1646</v>
      </c>
      <c r="N125" t="s">
        <v>1647</v>
      </c>
    </row>
    <row r="126" spans="1:14" ht="15" customHeight="1">
      <c r="A126" s="154" t="s">
        <v>232</v>
      </c>
      <c r="B126" s="154" t="s">
        <v>82</v>
      </c>
      <c r="C126" t="s">
        <v>1550</v>
      </c>
      <c r="D126" s="154" t="s">
        <v>69</v>
      </c>
      <c r="E126" s="155" t="str" cm="1">
        <f t="array" aca="1" ref="E126" ca="1">IF(C126="", INDIRECT("'"&amp;A126&amp;"'!B3"), INDEX(INDIRECT("'"&amp;A126&amp;"'!5:5"), COLUMN(INDIRECT("'"&amp;A126&amp;"'!"&amp;C126))))</f>
        <v>Respondent Client Transactions (Outgoing) - Value</v>
      </c>
      <c r="F126" s="155" cm="1">
        <f t="array" aca="1" ref="F126" ca="1">IF(C126="", "", INDEX(INDIRECT("'"&amp;A126&amp;"'!3:3"), COLUMN(INDIRECT("'"&amp;A126&amp;"'!"&amp;C126))))</f>
        <v>0</v>
      </c>
      <c r="G126" s="154" t="str" cm="1">
        <f t="array" aca="1" ref="G126" ca="1">IF(C126="", "", INDEX(INDIRECT("'"&amp;A126&amp;"'!8:8"), COLUMN(INDIRECT("'"&amp;A126&amp;"'!"&amp;C126))))</f>
        <v>Monetary</v>
      </c>
      <c r="H126" s="154" t="str" cm="1">
        <f t="array" aca="1" ref="H126" ca="1">IF(C126="","",T(INDIRECT("'"&amp;A126&amp;"'!"&amp;ADDRESS(7, COLUMN(INDIRECT("'"&amp;A126&amp;"'!"&amp;C126))))))</f>
        <v>Flow</v>
      </c>
      <c r="I126" s="154" t="str" cm="1">
        <f t="array" aca="1" ref="I126" ca="1">IF(C126="","",T(INDIRECT("'"&amp;A126&amp;"'!"&amp;ADDRESS(9, COLUMN(INDIRECT("'"&amp;A126&amp;"'!"&amp;C126))))))</f>
        <v/>
      </c>
      <c r="J126" t="s">
        <v>1594</v>
      </c>
      <c r="K126" t="s">
        <v>1597</v>
      </c>
      <c r="L126" t="s">
        <v>1611</v>
      </c>
      <c r="M126" t="s">
        <v>1646</v>
      </c>
      <c r="N126" t="s">
        <v>1647</v>
      </c>
    </row>
    <row r="127" spans="1:14" ht="15" customHeight="1">
      <c r="A127" s="154" t="s">
        <v>232</v>
      </c>
      <c r="B127" s="154" t="s">
        <v>83</v>
      </c>
      <c r="C127" t="s">
        <v>1551</v>
      </c>
      <c r="D127" s="154" t="s">
        <v>69</v>
      </c>
      <c r="E127" s="155" t="str" cm="1">
        <f t="array" aca="1" ref="E127" ca="1">IF(C127="", INDIRECT("'"&amp;A127&amp;"'!B3"), INDEX(INDIRECT("'"&amp;A127&amp;"'!5:5"), COLUMN(INDIRECT("'"&amp;A127&amp;"'!"&amp;C127))))</f>
        <v>Payable Through Accounts (Incoming) - Value</v>
      </c>
      <c r="F127" s="155" cm="1">
        <f t="array" aca="1" ref="F127" ca="1">IF(C127="", "", INDEX(INDIRECT("'"&amp;A127&amp;"'!3:3"), COLUMN(INDIRECT("'"&amp;A127&amp;"'!"&amp;C127))))</f>
        <v>0</v>
      </c>
      <c r="G127" s="154" t="str" cm="1">
        <f t="array" aca="1" ref="G127" ca="1">IF(C127="", "", INDEX(INDIRECT("'"&amp;A127&amp;"'!8:8"), COLUMN(INDIRECT("'"&amp;A127&amp;"'!"&amp;C127))))</f>
        <v>Monetary</v>
      </c>
      <c r="H127" s="154" t="str" cm="1">
        <f t="array" aca="1" ref="H127" ca="1">IF(C127="","",T(INDIRECT("'"&amp;A127&amp;"'!"&amp;ADDRESS(7, COLUMN(INDIRECT("'"&amp;A127&amp;"'!"&amp;C127))))))</f>
        <v>Flow</v>
      </c>
      <c r="I127" s="154" t="str" cm="1">
        <f t="array" aca="1" ref="I127" ca="1">IF(C127="","",T(INDIRECT("'"&amp;A127&amp;"'!"&amp;ADDRESS(9, COLUMN(INDIRECT("'"&amp;A127&amp;"'!"&amp;C127))))))</f>
        <v/>
      </c>
      <c r="J127" t="s">
        <v>1594</v>
      </c>
      <c r="K127" t="s">
        <v>1595</v>
      </c>
      <c r="L127" t="s">
        <v>1611</v>
      </c>
      <c r="M127" t="s">
        <v>1646</v>
      </c>
      <c r="N127" t="s">
        <v>1648</v>
      </c>
    </row>
    <row r="128" spans="1:14" ht="15" customHeight="1">
      <c r="A128" s="154" t="s">
        <v>232</v>
      </c>
      <c r="B128" s="154" t="s">
        <v>84</v>
      </c>
      <c r="C128" t="s">
        <v>1552</v>
      </c>
      <c r="D128" s="154" t="s">
        <v>69</v>
      </c>
      <c r="E128" s="155" t="str" cm="1">
        <f t="array" aca="1" ref="E128" ca="1">IF(C128="", INDIRECT("'"&amp;A128&amp;"'!B3"), INDEX(INDIRECT("'"&amp;A128&amp;"'!5:5"), COLUMN(INDIRECT("'"&amp;A128&amp;"'!"&amp;C128))))</f>
        <v>Payable Through Accounts (Outgoing) - Value</v>
      </c>
      <c r="F128" s="155" cm="1">
        <f t="array" aca="1" ref="F128" ca="1">IF(C128="", "", INDEX(INDIRECT("'"&amp;A128&amp;"'!3:3"), COLUMN(INDIRECT("'"&amp;A128&amp;"'!"&amp;C128))))</f>
        <v>0</v>
      </c>
      <c r="G128" s="154" t="str" cm="1">
        <f t="array" aca="1" ref="G128" ca="1">IF(C128="", "", INDEX(INDIRECT("'"&amp;A128&amp;"'!8:8"), COLUMN(INDIRECT("'"&amp;A128&amp;"'!"&amp;C128))))</f>
        <v>Monetary</v>
      </c>
      <c r="H128" s="154" t="str" cm="1">
        <f t="array" aca="1" ref="H128" ca="1">IF(C128="","",T(INDIRECT("'"&amp;A128&amp;"'!"&amp;ADDRESS(7, COLUMN(INDIRECT("'"&amp;A128&amp;"'!"&amp;C128))))))</f>
        <v>Flow</v>
      </c>
      <c r="I128" s="154" t="str" cm="1">
        <f t="array" aca="1" ref="I128" ca="1">IF(C128="","",T(INDIRECT("'"&amp;A128&amp;"'!"&amp;ADDRESS(9, COLUMN(INDIRECT("'"&amp;A128&amp;"'!"&amp;C128))))))</f>
        <v/>
      </c>
      <c r="J128" t="s">
        <v>1594</v>
      </c>
      <c r="K128" t="s">
        <v>1597</v>
      </c>
      <c r="L128" t="s">
        <v>1611</v>
      </c>
      <c r="M128" t="s">
        <v>1646</v>
      </c>
      <c r="N128" t="s">
        <v>1648</v>
      </c>
    </row>
    <row r="129" spans="1:14" ht="15" customHeight="1">
      <c r="A129" s="154" t="s">
        <v>232</v>
      </c>
      <c r="B129" s="154" t="s">
        <v>85</v>
      </c>
      <c r="C129" t="s">
        <v>1553</v>
      </c>
      <c r="D129" s="154" t="s">
        <v>69</v>
      </c>
      <c r="E129" s="155" t="str" cm="1">
        <f t="array" aca="1" ref="E129" ca="1">IF(C129="", INDIRECT("'"&amp;A129&amp;"'!B3"), INDEX(INDIRECT("'"&amp;A129&amp;"'!5:5"), COLUMN(INDIRECT("'"&amp;A129&amp;"'!"&amp;C129))))</f>
        <v>Nested Accounts (Incoming) - Value</v>
      </c>
      <c r="F129" s="155" cm="1">
        <f t="array" aca="1" ref="F129" ca="1">IF(C129="", "", INDEX(INDIRECT("'"&amp;A129&amp;"'!3:3"), COLUMN(INDIRECT("'"&amp;A129&amp;"'!"&amp;C129))))</f>
        <v>0</v>
      </c>
      <c r="G129" s="154" t="str" cm="1">
        <f t="array" aca="1" ref="G129" ca="1">IF(C129="", "", INDEX(INDIRECT("'"&amp;A129&amp;"'!8:8"), COLUMN(INDIRECT("'"&amp;A129&amp;"'!"&amp;C129))))</f>
        <v>Monetary</v>
      </c>
      <c r="H129" s="154" t="str" cm="1">
        <f t="array" aca="1" ref="H129" ca="1">IF(C129="","",T(INDIRECT("'"&amp;A129&amp;"'!"&amp;ADDRESS(7, COLUMN(INDIRECT("'"&amp;A129&amp;"'!"&amp;C129))))))</f>
        <v>Flow</v>
      </c>
      <c r="I129" s="154" t="str" cm="1">
        <f t="array" aca="1" ref="I129" ca="1">IF(C129="","",T(INDIRECT("'"&amp;A129&amp;"'!"&amp;ADDRESS(9, COLUMN(INDIRECT("'"&amp;A129&amp;"'!"&amp;C129))))))</f>
        <v/>
      </c>
      <c r="J129" t="s">
        <v>1594</v>
      </c>
      <c r="K129" t="s">
        <v>1595</v>
      </c>
      <c r="L129" t="s">
        <v>1611</v>
      </c>
      <c r="M129" t="s">
        <v>1646</v>
      </c>
      <c r="N129" t="s">
        <v>1649</v>
      </c>
    </row>
    <row r="130" spans="1:14" ht="15" customHeight="1">
      <c r="A130" s="154" t="s">
        <v>232</v>
      </c>
      <c r="B130" s="154" t="s">
        <v>86</v>
      </c>
      <c r="C130" t="s">
        <v>1554</v>
      </c>
      <c r="D130" s="154" t="s">
        <v>69</v>
      </c>
      <c r="E130" s="155" t="str" cm="1">
        <f t="array" aca="1" ref="E130" ca="1">IF(C130="", INDIRECT("'"&amp;A130&amp;"'!B3"), INDEX(INDIRECT("'"&amp;A130&amp;"'!5:5"), COLUMN(INDIRECT("'"&amp;A130&amp;"'!"&amp;C130))))</f>
        <v>Nested Accounts (Outgoing) - Value</v>
      </c>
      <c r="F130" s="155" cm="1">
        <f t="array" aca="1" ref="F130" ca="1">IF(C130="", "", INDEX(INDIRECT("'"&amp;A130&amp;"'!3:3"), COLUMN(INDIRECT("'"&amp;A130&amp;"'!"&amp;C130))))</f>
        <v>0</v>
      </c>
      <c r="G130" s="154" t="str" cm="1">
        <f t="array" aca="1" ref="G130" ca="1">IF(C130="", "", INDEX(INDIRECT("'"&amp;A130&amp;"'!8:8"), COLUMN(INDIRECT("'"&amp;A130&amp;"'!"&amp;C130))))</f>
        <v>Monetary</v>
      </c>
      <c r="H130" s="154" t="str" cm="1">
        <f t="array" aca="1" ref="H130" ca="1">IF(C130="","",T(INDIRECT("'"&amp;A130&amp;"'!"&amp;ADDRESS(7, COLUMN(INDIRECT("'"&amp;A130&amp;"'!"&amp;C130))))))</f>
        <v>Flow</v>
      </c>
      <c r="I130" s="154" t="str" cm="1">
        <f t="array" aca="1" ref="I130" ca="1">IF(C130="","",T(INDIRECT("'"&amp;A130&amp;"'!"&amp;ADDRESS(9, COLUMN(INDIRECT("'"&amp;A130&amp;"'!"&amp;C130))))))</f>
        <v/>
      </c>
      <c r="J130" t="s">
        <v>1594</v>
      </c>
      <c r="K130" t="s">
        <v>1597</v>
      </c>
      <c r="L130" t="s">
        <v>1611</v>
      </c>
      <c r="M130" t="s">
        <v>1646</v>
      </c>
      <c r="N130" t="s">
        <v>1649</v>
      </c>
    </row>
    <row r="131" spans="1:14" ht="15" customHeight="1">
      <c r="A131" s="154" t="s">
        <v>240</v>
      </c>
      <c r="E131" s="155" cm="1">
        <f t="array" aca="1" ref="E131" ca="1">IF(C131="", INDIRECT("'"&amp;A131&amp;"'!B3"), INDEX(INDIRECT("'"&amp;A131&amp;"'!5:5"), COLUMN(INDIRECT("'"&amp;A131&amp;"'!"&amp;C131))))</f>
        <v>0</v>
      </c>
      <c r="F131" s="155" t="str" cm="1">
        <f t="array" aca="1" ref="F131" ca="1">IF(C131="", "", INDEX(INDIRECT("'"&amp;A131&amp;"'!3:3"), COLUMN(INDIRECT("'"&amp;A131&amp;"'!"&amp;C131))))</f>
        <v/>
      </c>
      <c r="G131" s="154" t="str" cm="1">
        <f t="array" aca="1" ref="G131" ca="1">IF(C131="", "", INDEX(INDIRECT("'"&amp;A131&amp;"'!8:8"), COLUMN(INDIRECT("'"&amp;A131&amp;"'!"&amp;C131))))</f>
        <v/>
      </c>
      <c r="H131" s="154" t="str" cm="1">
        <f t="array" aca="1" ref="H131" ca="1">IF(C131="","",T(INDIRECT("'"&amp;A131&amp;"'!"&amp;ADDRESS(7, COLUMN(INDIRECT("'"&amp;A131&amp;"'!"&amp;C131))))))</f>
        <v/>
      </c>
      <c r="I131" s="154" t="str" cm="1">
        <f t="array" aca="1" ref="I131" ca="1">IF(C131="","",T(INDIRECT("'"&amp;A131&amp;"'!"&amp;ADDRESS(9, COLUMN(INDIRECT("'"&amp;A131&amp;"'!"&amp;C131))))))</f>
        <v/>
      </c>
    </row>
    <row r="132" spans="1:14" ht="15" customHeight="1">
      <c r="A132" s="154" t="s">
        <v>240</v>
      </c>
      <c r="B132" s="154" t="s">
        <v>81</v>
      </c>
      <c r="C132" t="s">
        <v>1549</v>
      </c>
      <c r="D132" s="154" t="s">
        <v>70</v>
      </c>
      <c r="E132" s="155" t="str" cm="1">
        <f t="array" aca="1" ref="E132" ca="1">IF(C132="", INDIRECT("'"&amp;A132&amp;"'!B3"), INDEX(INDIRECT("'"&amp;A132&amp;"'!5:5"), COLUMN(INDIRECT("'"&amp;A132&amp;"'!"&amp;C132))))</f>
        <v>Trade Finance Customers</v>
      </c>
      <c r="F132" s="155" cm="1">
        <f t="array" aca="1" ref="F132" ca="1">IF(C132="", "", INDEX(INDIRECT("'"&amp;A132&amp;"'!3:3"), COLUMN(INDIRECT("'"&amp;A132&amp;"'!"&amp;C132))))</f>
        <v>0</v>
      </c>
      <c r="G132" s="154" t="str" cm="1">
        <f t="array" aca="1" ref="G132" ca="1">IF(C132="", "", INDEX(INDIRECT("'"&amp;A132&amp;"'!8:8"), COLUMN(INDIRECT("'"&amp;A132&amp;"'!"&amp;C132))))</f>
        <v>Integer</v>
      </c>
      <c r="H132" s="154" t="str" cm="1">
        <f t="array" aca="1" ref="H132" ca="1">IF(C132="","",T(INDIRECT("'"&amp;A132&amp;"'!"&amp;ADDRESS(7, COLUMN(INDIRECT("'"&amp;A132&amp;"'!"&amp;C132))))))</f>
        <v>Stock</v>
      </c>
      <c r="I132" s="154" t="str" cm="1">
        <f t="array" aca="1" ref="I132" ca="1">IF(C132="","",T(INDIRECT("'"&amp;A132&amp;"'!"&amp;ADDRESS(9, COLUMN(INDIRECT("'"&amp;A132&amp;"'!"&amp;C132))))))</f>
        <v/>
      </c>
      <c r="J132" t="s">
        <v>1578</v>
      </c>
      <c r="K132" t="s">
        <v>1650</v>
      </c>
    </row>
    <row r="133" spans="1:14" ht="15" customHeight="1">
      <c r="A133" s="154" t="s">
        <v>240</v>
      </c>
      <c r="B133" s="154" t="s">
        <v>82</v>
      </c>
      <c r="C133" t="s">
        <v>1550</v>
      </c>
      <c r="D133" s="154" t="s">
        <v>70</v>
      </c>
      <c r="E133" s="155" t="str" cm="1">
        <f t="array" aca="1" ref="E133" ca="1">IF(C133="", INDIRECT("'"&amp;A133&amp;"'!B3"), INDEX(INDIRECT("'"&amp;A133&amp;"'!5:5"), COLUMN(INDIRECT("'"&amp;A133&amp;"'!"&amp;C133))))</f>
        <v>Trade Finance Transactions (Incoming) - Number</v>
      </c>
      <c r="F133" s="155" cm="1">
        <f t="array" aca="1" ref="F133" ca="1">IF(C133="", "", INDEX(INDIRECT("'"&amp;A133&amp;"'!3:3"), COLUMN(INDIRECT("'"&amp;A133&amp;"'!"&amp;C133))))</f>
        <v>0</v>
      </c>
      <c r="G133" s="154" t="str" cm="1">
        <f t="array" aca="1" ref="G133" ca="1">IF(C133="", "", INDEX(INDIRECT("'"&amp;A133&amp;"'!8:8"), COLUMN(INDIRECT("'"&amp;A133&amp;"'!"&amp;C133))))</f>
        <v>Integer</v>
      </c>
      <c r="H133" s="154" t="str" cm="1">
        <f t="array" aca="1" ref="H133" ca="1">IF(C133="","",T(INDIRECT("'"&amp;A133&amp;"'!"&amp;ADDRESS(7, COLUMN(INDIRECT("'"&amp;A133&amp;"'!"&amp;C133))))))</f>
        <v>Flow</v>
      </c>
      <c r="I133" s="154" t="str" cm="1">
        <f t="array" aca="1" ref="I133" ca="1">IF(C133="","",T(INDIRECT("'"&amp;A133&amp;"'!"&amp;ADDRESS(9, COLUMN(INDIRECT("'"&amp;A133&amp;"'!"&amp;C133))))))</f>
        <v/>
      </c>
      <c r="J133" t="s">
        <v>1596</v>
      </c>
      <c r="K133" t="s">
        <v>1595</v>
      </c>
      <c r="L133" t="s">
        <v>1611</v>
      </c>
      <c r="M133" t="s">
        <v>1650</v>
      </c>
    </row>
    <row r="134" spans="1:14" ht="15" customHeight="1">
      <c r="A134" s="154" t="s">
        <v>240</v>
      </c>
      <c r="B134" s="154" t="s">
        <v>83</v>
      </c>
      <c r="C134" t="s">
        <v>1551</v>
      </c>
      <c r="D134" s="154" t="s">
        <v>70</v>
      </c>
      <c r="E134" s="155" t="str" cm="1">
        <f t="array" aca="1" ref="E134" ca="1">IF(C134="", INDIRECT("'"&amp;A134&amp;"'!B3"), INDEX(INDIRECT("'"&amp;A134&amp;"'!5:5"), COLUMN(INDIRECT("'"&amp;A134&amp;"'!"&amp;C134))))</f>
        <v>Trade Finance Transactions (Outgoing) - Number</v>
      </c>
      <c r="F134" s="155" cm="1">
        <f t="array" aca="1" ref="F134" ca="1">IF(C134="", "", INDEX(INDIRECT("'"&amp;A134&amp;"'!3:3"), COLUMN(INDIRECT("'"&amp;A134&amp;"'!"&amp;C134))))</f>
        <v>0</v>
      </c>
      <c r="G134" s="154" t="str" cm="1">
        <f t="array" aca="1" ref="G134" ca="1">IF(C134="", "", INDEX(INDIRECT("'"&amp;A134&amp;"'!8:8"), COLUMN(INDIRECT("'"&amp;A134&amp;"'!"&amp;C134))))</f>
        <v>Integer</v>
      </c>
      <c r="H134" s="154" t="str" cm="1">
        <f t="array" aca="1" ref="H134" ca="1">IF(C134="","",T(INDIRECT("'"&amp;A134&amp;"'!"&amp;ADDRESS(7, COLUMN(INDIRECT("'"&amp;A134&amp;"'!"&amp;C134))))))</f>
        <v>Flow</v>
      </c>
      <c r="I134" s="154" t="str" cm="1">
        <f t="array" aca="1" ref="I134" ca="1">IF(C134="","",T(INDIRECT("'"&amp;A134&amp;"'!"&amp;ADDRESS(9, COLUMN(INDIRECT("'"&amp;A134&amp;"'!"&amp;C134))))))</f>
        <v/>
      </c>
      <c r="J134" t="s">
        <v>1596</v>
      </c>
      <c r="K134" t="s">
        <v>1597</v>
      </c>
      <c r="L134" t="s">
        <v>1611</v>
      </c>
      <c r="M134" t="s">
        <v>1650</v>
      </c>
    </row>
    <row r="135" spans="1:14" ht="15" customHeight="1">
      <c r="A135" s="154" t="s">
        <v>240</v>
      </c>
      <c r="B135" s="154" t="s">
        <v>84</v>
      </c>
      <c r="C135" t="s">
        <v>1552</v>
      </c>
      <c r="D135" s="154" t="s">
        <v>70</v>
      </c>
      <c r="E135" s="155" t="str" cm="1">
        <f t="array" aca="1" ref="E135" ca="1">IF(C135="", INDIRECT("'"&amp;A135&amp;"'!B3"), INDEX(INDIRECT("'"&amp;A135&amp;"'!5:5"), COLUMN(INDIRECT("'"&amp;A135&amp;"'!"&amp;C135))))</f>
        <v>Trade Finance Transactions (Incoming) - Value</v>
      </c>
      <c r="F135" s="155" cm="1">
        <f t="array" aca="1" ref="F135" ca="1">IF(C135="", "", INDEX(INDIRECT("'"&amp;A135&amp;"'!3:3"), COLUMN(INDIRECT("'"&amp;A135&amp;"'!"&amp;C135))))</f>
        <v>0</v>
      </c>
      <c r="G135" s="154" t="str" cm="1">
        <f t="array" aca="1" ref="G135" ca="1">IF(C135="", "", INDEX(INDIRECT("'"&amp;A135&amp;"'!8:8"), COLUMN(INDIRECT("'"&amp;A135&amp;"'!"&amp;C135))))</f>
        <v>Monetary</v>
      </c>
      <c r="H135" s="154" t="str" cm="1">
        <f t="array" aca="1" ref="H135" ca="1">IF(C135="","",T(INDIRECT("'"&amp;A135&amp;"'!"&amp;ADDRESS(7, COLUMN(INDIRECT("'"&amp;A135&amp;"'!"&amp;C135))))))</f>
        <v>Flow</v>
      </c>
      <c r="I135" s="154" t="str" cm="1">
        <f t="array" aca="1" ref="I135" ca="1">IF(C135="","",T(INDIRECT("'"&amp;A135&amp;"'!"&amp;ADDRESS(9, COLUMN(INDIRECT("'"&amp;A135&amp;"'!"&amp;C135))))))</f>
        <v/>
      </c>
      <c r="J135" t="s">
        <v>1594</v>
      </c>
      <c r="K135" t="s">
        <v>1595</v>
      </c>
      <c r="L135" t="s">
        <v>1611</v>
      </c>
      <c r="M135" t="s">
        <v>1650</v>
      </c>
    </row>
    <row r="136" spans="1:14" ht="15" customHeight="1">
      <c r="A136" s="154" t="s">
        <v>240</v>
      </c>
      <c r="B136" s="154" t="s">
        <v>85</v>
      </c>
      <c r="C136" t="s">
        <v>1553</v>
      </c>
      <c r="D136" s="154" t="s">
        <v>70</v>
      </c>
      <c r="E136" s="155" t="str" cm="1">
        <f t="array" aca="1" ref="E136" ca="1">IF(C136="", INDIRECT("'"&amp;A136&amp;"'!B3"), INDEX(INDIRECT("'"&amp;A136&amp;"'!5:5"), COLUMN(INDIRECT("'"&amp;A136&amp;"'!"&amp;C136))))</f>
        <v>Trade Finance Transactions (Outgoing) - Value</v>
      </c>
      <c r="F136" s="155" cm="1">
        <f t="array" aca="1" ref="F136" ca="1">IF(C136="", "", INDEX(INDIRECT("'"&amp;A136&amp;"'!3:3"), COLUMN(INDIRECT("'"&amp;A136&amp;"'!"&amp;C136))))</f>
        <v>0</v>
      </c>
      <c r="G136" s="154" t="str" cm="1">
        <f t="array" aca="1" ref="G136" ca="1">IF(C136="", "", INDEX(INDIRECT("'"&amp;A136&amp;"'!8:8"), COLUMN(INDIRECT("'"&amp;A136&amp;"'!"&amp;C136))))</f>
        <v>Monetary</v>
      </c>
      <c r="H136" s="154" t="str" cm="1">
        <f t="array" aca="1" ref="H136" ca="1">IF(C136="","",T(INDIRECT("'"&amp;A136&amp;"'!"&amp;ADDRESS(7, COLUMN(INDIRECT("'"&amp;A136&amp;"'!"&amp;C136))))))</f>
        <v>Flow</v>
      </c>
      <c r="I136" s="154" t="str" cm="1">
        <f t="array" aca="1" ref="I136" ca="1">IF(C136="","",T(INDIRECT("'"&amp;A136&amp;"'!"&amp;ADDRESS(9, COLUMN(INDIRECT("'"&amp;A136&amp;"'!"&amp;C136))))))</f>
        <v/>
      </c>
      <c r="J136" t="s">
        <v>1594</v>
      </c>
      <c r="K136" t="s">
        <v>1597</v>
      </c>
      <c r="L136" t="s">
        <v>1611</v>
      </c>
      <c r="M136" t="s">
        <v>1650</v>
      </c>
    </row>
    <row r="137" spans="1:14" ht="15" customHeight="1">
      <c r="A137" s="154" t="s">
        <v>247</v>
      </c>
      <c r="E137" s="155" cm="1">
        <f t="array" aca="1" ref="E137" ca="1">IF(C137="", INDIRECT("'"&amp;A137&amp;"'!B3"), INDEX(INDIRECT("'"&amp;A137&amp;"'!5:5"), COLUMN(INDIRECT("'"&amp;A137&amp;"'!"&amp;C137))))</f>
        <v>0</v>
      </c>
      <c r="F137" s="155" t="str" cm="1">
        <f t="array" aca="1" ref="F137" ca="1">IF(C137="", "", INDEX(INDIRECT("'"&amp;A137&amp;"'!3:3"), COLUMN(INDIRECT("'"&amp;A137&amp;"'!"&amp;C137))))</f>
        <v/>
      </c>
      <c r="G137" s="154" t="str" cm="1">
        <f t="array" aca="1" ref="G137" ca="1">IF(C137="", "", INDEX(INDIRECT("'"&amp;A137&amp;"'!8:8"), COLUMN(INDIRECT("'"&amp;A137&amp;"'!"&amp;C137))))</f>
        <v/>
      </c>
      <c r="H137" s="154" t="str" cm="1">
        <f t="array" aca="1" ref="H137" ca="1">IF(C137="","",T(INDIRECT("'"&amp;A137&amp;"'!"&amp;ADDRESS(7, COLUMN(INDIRECT("'"&amp;A137&amp;"'!"&amp;C137))))))</f>
        <v/>
      </c>
      <c r="I137" s="154" t="str" cm="1">
        <f t="array" aca="1" ref="I137" ca="1">IF(C137="","",T(INDIRECT("'"&amp;A137&amp;"'!"&amp;ADDRESS(9, COLUMN(INDIRECT("'"&amp;A137&amp;"'!"&amp;C137))))))</f>
        <v/>
      </c>
    </row>
    <row r="138" spans="1:14" ht="15" customHeight="1">
      <c r="A138" s="154" t="s">
        <v>247</v>
      </c>
      <c r="B138" s="154" t="s">
        <v>81</v>
      </c>
      <c r="C138" t="s">
        <v>1549</v>
      </c>
      <c r="D138" s="154" t="s">
        <v>249</v>
      </c>
      <c r="E138" s="155" t="str" cm="1">
        <f t="array" aca="1" ref="E138" ca="1">IF(C138="", INDIRECT("'"&amp;A138&amp;"'!B3"), INDEX(INDIRECT("'"&amp;A138&amp;"'!5:5"), COLUMN(INDIRECT("'"&amp;A138&amp;"'!"&amp;C138))))</f>
        <v>E-money Transactions (Incoming) - Volume</v>
      </c>
      <c r="F138" s="155" cm="1">
        <f t="array" aca="1" ref="F138" ca="1">IF(C138="", "", INDEX(INDIRECT("'"&amp;A138&amp;"'!3:3"), COLUMN(INDIRECT("'"&amp;A138&amp;"'!"&amp;C138))))</f>
        <v>0</v>
      </c>
      <c r="G138" s="154" t="str" cm="1">
        <f t="array" aca="1" ref="G138" ca="1">IF(C138="", "", INDEX(INDIRECT("'"&amp;A138&amp;"'!8:8"), COLUMN(INDIRECT("'"&amp;A138&amp;"'!"&amp;C138))))</f>
        <v>Integer</v>
      </c>
      <c r="H138" s="154" t="str" cm="1">
        <f t="array" aca="1" ref="H138" ca="1">IF(C138="","",T(INDIRECT("'"&amp;A138&amp;"'!"&amp;ADDRESS(7, COLUMN(INDIRECT("'"&amp;A138&amp;"'!"&amp;C138))))))</f>
        <v>Flow</v>
      </c>
      <c r="I138" s="154" t="str" cm="1">
        <f t="array" aca="1" ref="I138" ca="1">IF(C138="","",T(INDIRECT("'"&amp;A138&amp;"'!"&amp;ADDRESS(9, COLUMN(INDIRECT("'"&amp;A138&amp;"'!"&amp;C138))))))</f>
        <v/>
      </c>
      <c r="J138" t="s">
        <v>1596</v>
      </c>
      <c r="K138" t="s">
        <v>1595</v>
      </c>
      <c r="L138" t="s">
        <v>1611</v>
      </c>
      <c r="M138" t="s">
        <v>1651</v>
      </c>
    </row>
    <row r="139" spans="1:14" ht="15" customHeight="1">
      <c r="A139" s="154" t="s">
        <v>247</v>
      </c>
      <c r="B139" s="154" t="s">
        <v>82</v>
      </c>
      <c r="C139" t="s">
        <v>1550</v>
      </c>
      <c r="D139" s="154" t="s">
        <v>249</v>
      </c>
      <c r="E139" s="155" t="str" cm="1">
        <f t="array" aca="1" ref="E139" ca="1">IF(C139="", INDIRECT("'"&amp;A139&amp;"'!B3"), INDEX(INDIRECT("'"&amp;A139&amp;"'!5:5"), COLUMN(INDIRECT("'"&amp;A139&amp;"'!"&amp;C139))))</f>
        <v>E-money Transactions (Outgoing) - Number</v>
      </c>
      <c r="F139" s="155" cm="1">
        <f t="array" aca="1" ref="F139" ca="1">IF(C139="", "", INDEX(INDIRECT("'"&amp;A139&amp;"'!3:3"), COLUMN(INDIRECT("'"&amp;A139&amp;"'!"&amp;C139))))</f>
        <v>0</v>
      </c>
      <c r="G139" s="154" t="str" cm="1">
        <f t="array" aca="1" ref="G139" ca="1">IF(C139="", "", INDEX(INDIRECT("'"&amp;A139&amp;"'!8:8"), COLUMN(INDIRECT("'"&amp;A139&amp;"'!"&amp;C139))))</f>
        <v>Integer</v>
      </c>
      <c r="H139" s="154" t="str" cm="1">
        <f t="array" aca="1" ref="H139" ca="1">IF(C139="","",T(INDIRECT("'"&amp;A139&amp;"'!"&amp;ADDRESS(7, COLUMN(INDIRECT("'"&amp;A139&amp;"'!"&amp;C139))))))</f>
        <v>Flow</v>
      </c>
      <c r="I139" s="154" t="str" cm="1">
        <f t="array" aca="1" ref="I139" ca="1">IF(C139="","",T(INDIRECT("'"&amp;A139&amp;"'!"&amp;ADDRESS(9, COLUMN(INDIRECT("'"&amp;A139&amp;"'!"&amp;C139))))))</f>
        <v/>
      </c>
      <c r="J139" t="s">
        <v>1596</v>
      </c>
      <c r="K139" t="s">
        <v>1597</v>
      </c>
      <c r="L139" t="s">
        <v>1611</v>
      </c>
      <c r="M139" t="s">
        <v>1651</v>
      </c>
    </row>
    <row r="140" spans="1:14" ht="15" customHeight="1">
      <c r="A140" s="154" t="s">
        <v>247</v>
      </c>
      <c r="B140" s="154" t="s">
        <v>83</v>
      </c>
      <c r="C140" t="s">
        <v>1551</v>
      </c>
      <c r="D140" s="154" t="s">
        <v>249</v>
      </c>
      <c r="E140" s="155" t="str" cm="1">
        <f t="array" aca="1" ref="E140" ca="1">IF(C140="", INDIRECT("'"&amp;A140&amp;"'!B3"), INDEX(INDIRECT("'"&amp;A140&amp;"'!5:5"), COLUMN(INDIRECT("'"&amp;A140&amp;"'!"&amp;C140))))</f>
        <v>E-money Transactions (Incoming) - Value</v>
      </c>
      <c r="F140" s="155" cm="1">
        <f t="array" aca="1" ref="F140" ca="1">IF(C140="", "", INDEX(INDIRECT("'"&amp;A140&amp;"'!3:3"), COLUMN(INDIRECT("'"&amp;A140&amp;"'!"&amp;C140))))</f>
        <v>0</v>
      </c>
      <c r="G140" s="154" t="str" cm="1">
        <f t="array" aca="1" ref="G140" ca="1">IF(C140="", "", INDEX(INDIRECT("'"&amp;A140&amp;"'!8:8"), COLUMN(INDIRECT("'"&amp;A140&amp;"'!"&amp;C140))))</f>
        <v>Monetary</v>
      </c>
      <c r="H140" s="154" t="str" cm="1">
        <f t="array" aca="1" ref="H140" ca="1">IF(C140="","",T(INDIRECT("'"&amp;A140&amp;"'!"&amp;ADDRESS(7, COLUMN(INDIRECT("'"&amp;A140&amp;"'!"&amp;C140))))))</f>
        <v>Flow</v>
      </c>
      <c r="I140" s="154" t="str" cm="1">
        <f t="array" aca="1" ref="I140" ca="1">IF(C140="","",T(INDIRECT("'"&amp;A140&amp;"'!"&amp;ADDRESS(9, COLUMN(INDIRECT("'"&amp;A140&amp;"'!"&amp;C140))))))</f>
        <v/>
      </c>
      <c r="J140" t="s">
        <v>1594</v>
      </c>
      <c r="K140" t="s">
        <v>1595</v>
      </c>
      <c r="L140" t="s">
        <v>1611</v>
      </c>
      <c r="M140" t="s">
        <v>1651</v>
      </c>
    </row>
    <row r="141" spans="1:14" ht="15" customHeight="1">
      <c r="A141" s="154" t="s">
        <v>247</v>
      </c>
      <c r="B141" s="154" t="s">
        <v>84</v>
      </c>
      <c r="C141" t="s">
        <v>1552</v>
      </c>
      <c r="D141" s="154" t="s">
        <v>249</v>
      </c>
      <c r="E141" s="155" t="str" cm="1">
        <f t="array" aca="1" ref="E141" ca="1">IF(C141="", INDIRECT("'"&amp;A141&amp;"'!B3"), INDEX(INDIRECT("'"&amp;A141&amp;"'!5:5"), COLUMN(INDIRECT("'"&amp;A141&amp;"'!"&amp;C141))))</f>
        <v>E-money Transactions (Outgoing) - Value</v>
      </c>
      <c r="F141" s="155" cm="1">
        <f t="array" aca="1" ref="F141" ca="1">IF(C141="", "", INDEX(INDIRECT("'"&amp;A141&amp;"'!3:3"), COLUMN(INDIRECT("'"&amp;A141&amp;"'!"&amp;C141))))</f>
        <v>0</v>
      </c>
      <c r="G141" s="154" t="str" cm="1">
        <f t="array" aca="1" ref="G141" ca="1">IF(C141="", "", INDEX(INDIRECT("'"&amp;A141&amp;"'!8:8"), COLUMN(INDIRECT("'"&amp;A141&amp;"'!"&amp;C141))))</f>
        <v>Monetary</v>
      </c>
      <c r="H141" s="154" t="str" cm="1">
        <f t="array" aca="1" ref="H141" ca="1">IF(C141="","",T(INDIRECT("'"&amp;A141&amp;"'!"&amp;ADDRESS(7, COLUMN(INDIRECT("'"&amp;A141&amp;"'!"&amp;C141))))))</f>
        <v>Flow</v>
      </c>
      <c r="I141" s="154" t="str" cm="1">
        <f t="array" aca="1" ref="I141" ca="1">IF(C141="","",T(INDIRECT("'"&amp;A141&amp;"'!"&amp;ADDRESS(9, COLUMN(INDIRECT("'"&amp;A141&amp;"'!"&amp;C141))))))</f>
        <v/>
      </c>
      <c r="J141" t="s">
        <v>1594</v>
      </c>
      <c r="K141" t="s">
        <v>1597</v>
      </c>
      <c r="L141" t="s">
        <v>1611</v>
      </c>
      <c r="M141" t="s">
        <v>1651</v>
      </c>
    </row>
    <row r="142" spans="1:14" ht="15" customHeight="1">
      <c r="A142" s="154" t="s">
        <v>247</v>
      </c>
      <c r="B142" s="154" t="s">
        <v>85</v>
      </c>
      <c r="C142" t="s">
        <v>1553</v>
      </c>
      <c r="D142" s="154" t="s">
        <v>249</v>
      </c>
      <c r="E142" s="155" t="str" cm="1">
        <f t="array" aca="1" ref="E142" ca="1">IF(C142="", INDIRECT("'"&amp;A142&amp;"'!B3"), INDEX(INDIRECT("'"&amp;A142&amp;"'!5:5"), COLUMN(INDIRECT("'"&amp;A142&amp;"'!"&amp;C142))))</f>
        <v>E-money Transactions (Non-identified Customers) - Value</v>
      </c>
      <c r="F142" s="155" cm="1">
        <f t="array" aca="1" ref="F142" ca="1">IF(C142="", "", INDEX(INDIRECT("'"&amp;A142&amp;"'!3:3"), COLUMN(INDIRECT("'"&amp;A142&amp;"'!"&amp;C142))))</f>
        <v>0</v>
      </c>
      <c r="G142" s="154" t="str" cm="1">
        <f t="array" aca="1" ref="G142" ca="1">IF(C142="", "", INDEX(INDIRECT("'"&amp;A142&amp;"'!8:8"), COLUMN(INDIRECT("'"&amp;A142&amp;"'!"&amp;C142))))</f>
        <v>Monetary</v>
      </c>
      <c r="H142" s="154" t="str" cm="1">
        <f t="array" aca="1" ref="H142" ca="1">IF(C142="","",T(INDIRECT("'"&amp;A142&amp;"'!"&amp;ADDRESS(7, COLUMN(INDIRECT("'"&amp;A142&amp;"'!"&amp;C142))))))</f>
        <v>Flow</v>
      </c>
      <c r="I142" s="154" t="str" cm="1">
        <f t="array" aca="1" ref="I142" ca="1">IF(C142="","",T(INDIRECT("'"&amp;A142&amp;"'!"&amp;ADDRESS(9, COLUMN(INDIRECT("'"&amp;A142&amp;"'!"&amp;C142))))))</f>
        <v/>
      </c>
      <c r="J142" t="s">
        <v>1594</v>
      </c>
      <c r="K142" t="s">
        <v>1611</v>
      </c>
      <c r="L142" t="s">
        <v>1651</v>
      </c>
      <c r="M142" t="s">
        <v>1652</v>
      </c>
    </row>
    <row r="143" spans="1:14" ht="15" customHeight="1">
      <c r="A143" s="154" t="s">
        <v>255</v>
      </c>
      <c r="E143" s="155" cm="1">
        <f t="array" aca="1" ref="E143" ca="1">IF(C143="", INDIRECT("'"&amp;A143&amp;"'!B3"), INDEX(INDIRECT("'"&amp;A143&amp;"'!5:5"), COLUMN(INDIRECT("'"&amp;A143&amp;"'!"&amp;C143))))</f>
        <v>0</v>
      </c>
      <c r="F143" s="155" t="str" cm="1">
        <f t="array" aca="1" ref="F143" ca="1">IF(C143="", "", INDEX(INDIRECT("'"&amp;A143&amp;"'!3:3"), COLUMN(INDIRECT("'"&amp;A143&amp;"'!"&amp;C143))))</f>
        <v/>
      </c>
      <c r="G143" s="154" t="str" cm="1">
        <f t="array" aca="1" ref="G143" ca="1">IF(C143="", "", INDEX(INDIRECT("'"&amp;A143&amp;"'!8:8"), COLUMN(INDIRECT("'"&amp;A143&amp;"'!"&amp;C143))))</f>
        <v/>
      </c>
      <c r="H143" s="154" t="str" cm="1">
        <f t="array" aca="1" ref="H143" ca="1">IF(C143="","",T(INDIRECT("'"&amp;A143&amp;"'!"&amp;ADDRESS(7, COLUMN(INDIRECT("'"&amp;A143&amp;"'!"&amp;C143))))))</f>
        <v/>
      </c>
      <c r="I143" s="154" t="str" cm="1">
        <f t="array" aca="1" ref="I143" ca="1">IF(C143="","",T(INDIRECT("'"&amp;A143&amp;"'!"&amp;ADDRESS(9, COLUMN(INDIRECT("'"&amp;A143&amp;"'!"&amp;C143))))))</f>
        <v/>
      </c>
    </row>
    <row r="144" spans="1:14" ht="15" customHeight="1">
      <c r="A144" s="154" t="s">
        <v>255</v>
      </c>
      <c r="B144" s="154" t="s">
        <v>81</v>
      </c>
      <c r="C144" t="s">
        <v>1549</v>
      </c>
      <c r="E144" s="155" t="str" cm="1">
        <f t="array" aca="1" ref="E144" ca="1">IF(C144="", INDIRECT("'"&amp;A144&amp;"'!B3"), INDEX(INDIRECT("'"&amp;A144&amp;"'!5:5"), COLUMN(INDIRECT("'"&amp;A144&amp;"'!"&amp;C144))))</f>
        <v>TCSP Customers (Legal Entities)</v>
      </c>
      <c r="F144" s="155" cm="1">
        <f t="array" aca="1" ref="F144" ca="1">IF(C144="", "", INDEX(INDIRECT("'"&amp;A144&amp;"'!3:3"), COLUMN(INDIRECT("'"&amp;A144&amp;"'!"&amp;C144))))</f>
        <v>0</v>
      </c>
      <c r="G144" s="154" t="str" cm="1">
        <f t="array" aca="1" ref="G144" ca="1">IF(C144="", "", INDEX(INDIRECT("'"&amp;A144&amp;"'!8:8"), COLUMN(INDIRECT("'"&amp;A144&amp;"'!"&amp;C144))))</f>
        <v>Integer</v>
      </c>
      <c r="H144" s="154" t="str" cm="1">
        <f t="array" aca="1" ref="H144" ca="1">IF(C144="","",T(INDIRECT("'"&amp;A144&amp;"'!"&amp;ADDRESS(7, COLUMN(INDIRECT("'"&amp;A144&amp;"'!"&amp;C144))))))</f>
        <v>Flow</v>
      </c>
      <c r="I144" s="154" t="str" cm="1">
        <f t="array" aca="1" ref="I144" ca="1">IF(C144="","",T(INDIRECT("'"&amp;A144&amp;"'!"&amp;ADDRESS(9, COLUMN(INDIRECT("'"&amp;A144&amp;"'!"&amp;C144))))))</f>
        <v/>
      </c>
      <c r="J144" t="s">
        <v>1578</v>
      </c>
      <c r="K144" t="s">
        <v>1580</v>
      </c>
      <c r="L144" t="s">
        <v>1582</v>
      </c>
      <c r="M144" t="s">
        <v>1653</v>
      </c>
    </row>
    <row r="145" spans="1:14" ht="15" customHeight="1">
      <c r="A145" s="154" t="s">
        <v>258</v>
      </c>
      <c r="E145" s="155" cm="1">
        <f t="array" aca="1" ref="E145" ca="1">IF(C145="", INDIRECT("'"&amp;A145&amp;"'!B3"), INDEX(INDIRECT("'"&amp;A145&amp;"'!5:5"), COLUMN(INDIRECT("'"&amp;A145&amp;"'!"&amp;C145))))</f>
        <v>0</v>
      </c>
      <c r="F145" s="155" t="str" cm="1">
        <f t="array" aca="1" ref="F145" ca="1">IF(C145="", "", INDEX(INDIRECT("'"&amp;A145&amp;"'!3:3"), COLUMN(INDIRECT("'"&amp;A145&amp;"'!"&amp;C145))))</f>
        <v/>
      </c>
      <c r="G145" s="154" t="str" cm="1">
        <f t="array" aca="1" ref="G145" ca="1">IF(C145="", "", INDEX(INDIRECT("'"&amp;A145&amp;"'!8:8"), COLUMN(INDIRECT("'"&amp;A145&amp;"'!"&amp;C145))))</f>
        <v/>
      </c>
      <c r="H145" s="154" t="str" cm="1">
        <f t="array" aca="1" ref="H145" ca="1">IF(C145="","",T(INDIRECT("'"&amp;A145&amp;"'!"&amp;ADDRESS(7, COLUMN(INDIRECT("'"&amp;A145&amp;"'!"&amp;C145))))))</f>
        <v/>
      </c>
      <c r="I145" s="154" t="str" cm="1">
        <f t="array" aca="1" ref="I145" ca="1">IF(C145="","",T(INDIRECT("'"&amp;A145&amp;"'!"&amp;ADDRESS(9, COLUMN(INDIRECT("'"&amp;A145&amp;"'!"&amp;C145))))))</f>
        <v/>
      </c>
    </row>
    <row r="146" spans="1:14" ht="15" customHeight="1">
      <c r="A146" s="154" t="s">
        <v>258</v>
      </c>
      <c r="B146" s="154" t="s">
        <v>81</v>
      </c>
      <c r="C146" t="s">
        <v>1549</v>
      </c>
      <c r="E146" s="155" t="str" cm="1">
        <f t="array" aca="1" ref="E146" ca="1">IF(C146="", INDIRECT("'"&amp;A146&amp;"'!B3"), INDEX(INDIRECT("'"&amp;A146&amp;"'!5:5"), COLUMN(INDIRECT("'"&amp;A146&amp;"'!"&amp;C146))))</f>
        <v>Non-EEA Crypto Companies (BIN-sponsored)</v>
      </c>
      <c r="F146" s="155" cm="1">
        <f t="array" aca="1" ref="F146" ca="1">IF(C146="", "", INDEX(INDIRECT("'"&amp;A146&amp;"'!3:3"), COLUMN(INDIRECT("'"&amp;A146&amp;"'!"&amp;C146))))</f>
        <v>0</v>
      </c>
      <c r="G146" s="154" t="str" cm="1">
        <f t="array" aca="1" ref="G146" ca="1">IF(C146="", "", INDEX(INDIRECT("'"&amp;A146&amp;"'!8:8"), COLUMN(INDIRECT("'"&amp;A146&amp;"'!"&amp;C146))))</f>
        <v>Integer</v>
      </c>
      <c r="H146" s="154" t="str" cm="1">
        <f t="array" aca="1" ref="H146" ca="1">IF(C146="","",T(INDIRECT("'"&amp;A146&amp;"'!"&amp;ADDRESS(7, COLUMN(INDIRECT("'"&amp;A146&amp;"'!"&amp;C146))))))</f>
        <v>Stock</v>
      </c>
      <c r="I146" s="154" t="str" cm="1">
        <f t="array" aca="1" ref="I146" ca="1">IF(C146="","",T(INDIRECT("'"&amp;A146&amp;"'!"&amp;ADDRESS(9, COLUMN(INDIRECT("'"&amp;A146&amp;"'!"&amp;C146))))))</f>
        <v/>
      </c>
      <c r="J146" t="s">
        <v>1578</v>
      </c>
      <c r="K146" t="s">
        <v>1580</v>
      </c>
      <c r="L146" t="s">
        <v>1654</v>
      </c>
      <c r="M146" t="s">
        <v>1655</v>
      </c>
      <c r="N146" t="s">
        <v>1656</v>
      </c>
    </row>
    <row r="147" spans="1:14" ht="15" customHeight="1">
      <c r="A147" s="154" t="s">
        <v>261</v>
      </c>
      <c r="E147" s="155" cm="1">
        <f t="array" aca="1" ref="E147" ca="1">IF(C147="", INDIRECT("'"&amp;A147&amp;"'!B3"), INDEX(INDIRECT("'"&amp;A147&amp;"'!5:5"), COLUMN(INDIRECT("'"&amp;A147&amp;"'!"&amp;C147))))</f>
        <v>0</v>
      </c>
      <c r="F147" s="155" t="str" cm="1">
        <f t="array" aca="1" ref="F147" ca="1">IF(C147="", "", INDEX(INDIRECT("'"&amp;A147&amp;"'!3:3"), COLUMN(INDIRECT("'"&amp;A147&amp;"'!"&amp;C147))))</f>
        <v/>
      </c>
      <c r="G147" s="154" t="str" cm="1">
        <f t="array" aca="1" ref="G147" ca="1">IF(C147="", "", INDEX(INDIRECT("'"&amp;A147&amp;"'!8:8"), COLUMN(INDIRECT("'"&amp;A147&amp;"'!"&amp;C147))))</f>
        <v/>
      </c>
      <c r="H147" s="154" t="str" cm="1">
        <f t="array" aca="1" ref="H147" ca="1">IF(C147="","",T(INDIRECT("'"&amp;A147&amp;"'!"&amp;ADDRESS(7, COLUMN(INDIRECT("'"&amp;A147&amp;"'!"&amp;C147))))))</f>
        <v/>
      </c>
      <c r="I147" s="154" t="str" cm="1">
        <f t="array" aca="1" ref="I147" ca="1">IF(C147="","",T(INDIRECT("'"&amp;A147&amp;"'!"&amp;ADDRESS(9, COLUMN(INDIRECT("'"&amp;A147&amp;"'!"&amp;C147))))))</f>
        <v/>
      </c>
    </row>
    <row r="148" spans="1:14" ht="15" customHeight="1">
      <c r="A148" s="154" t="s">
        <v>261</v>
      </c>
      <c r="B148" s="154" t="s">
        <v>81</v>
      </c>
      <c r="C148" t="s">
        <v>1549</v>
      </c>
      <c r="D148" s="154" t="s">
        <v>262</v>
      </c>
      <c r="E148" s="155" t="str" cm="1">
        <f t="array" aca="1" ref="E148" ca="1">IF(C148="", INDIRECT("'"&amp;A148&amp;"'!B3"), INDEX(INDIRECT("'"&amp;A148&amp;"'!5:5"), COLUMN(INDIRECT("'"&amp;A148&amp;"'!"&amp;C148))))</f>
        <v>Customers holding Crypto-assets - Number</v>
      </c>
      <c r="F148" s="155" cm="1">
        <f t="array" aca="1" ref="F148" ca="1">IF(C148="", "", INDEX(INDIRECT("'"&amp;A148&amp;"'!3:3"), COLUMN(INDIRECT("'"&amp;A148&amp;"'!"&amp;C148))))</f>
        <v>0</v>
      </c>
      <c r="G148" s="154" t="str" cm="1">
        <f t="array" aca="1" ref="G148" ca="1">IF(C148="", "", INDEX(INDIRECT("'"&amp;A148&amp;"'!8:8"), COLUMN(INDIRECT("'"&amp;A148&amp;"'!"&amp;C148))))</f>
        <v>Integer</v>
      </c>
      <c r="H148" s="154" t="str" cm="1">
        <f t="array" aca="1" ref="H148" ca="1">IF(C148="","",T(INDIRECT("'"&amp;A148&amp;"'!"&amp;ADDRESS(7, COLUMN(INDIRECT("'"&amp;A148&amp;"'!"&amp;C148))))))</f>
        <v>Stock</v>
      </c>
      <c r="I148" s="154" t="str" cm="1">
        <f t="array" aca="1" ref="I148" ca="1">IF(C148="","",T(INDIRECT("'"&amp;A148&amp;"'!"&amp;ADDRESS(9, COLUMN(INDIRECT("'"&amp;A148&amp;"'!"&amp;C148))))))</f>
        <v/>
      </c>
      <c r="J148" t="s">
        <v>1578</v>
      </c>
      <c r="K148" t="s">
        <v>1654</v>
      </c>
    </row>
    <row r="149" spans="1:14" ht="15" customHeight="1">
      <c r="A149" s="154" t="s">
        <v>261</v>
      </c>
      <c r="B149" s="154" t="s">
        <v>82</v>
      </c>
      <c r="C149" t="s">
        <v>1550</v>
      </c>
      <c r="D149" s="154" t="s">
        <v>262</v>
      </c>
      <c r="E149" s="155" t="str" cm="1">
        <f t="array" aca="1" ref="E149" ca="1">IF(C149="", INDIRECT("'"&amp;A149&amp;"'!B3"), INDEX(INDIRECT("'"&amp;A149&amp;"'!5:5"), COLUMN(INDIRECT("'"&amp;A149&amp;"'!"&amp;C149))))</f>
        <v>Crypto Assets in Custody - Value</v>
      </c>
      <c r="F149" s="155" cm="1">
        <f t="array" aca="1" ref="F149" ca="1">IF(C149="", "", INDEX(INDIRECT("'"&amp;A149&amp;"'!3:3"), COLUMN(INDIRECT("'"&amp;A149&amp;"'!"&amp;C149))))</f>
        <v>0</v>
      </c>
      <c r="G149" s="154" t="str" cm="1">
        <f t="array" aca="1" ref="G149" ca="1">IF(C149="", "", INDEX(INDIRECT("'"&amp;A149&amp;"'!8:8"), COLUMN(INDIRECT("'"&amp;A149&amp;"'!"&amp;C149))))</f>
        <v>Monetary</v>
      </c>
      <c r="H149" s="154" t="str" cm="1">
        <f t="array" aca="1" ref="H149" ca="1">IF(C149="","",T(INDIRECT("'"&amp;A149&amp;"'!"&amp;ADDRESS(7, COLUMN(INDIRECT("'"&amp;A149&amp;"'!"&amp;C149))))))</f>
        <v>Stock</v>
      </c>
      <c r="I149" s="154" t="str" cm="1">
        <f t="array" aca="1" ref="I149" ca="1">IF(C149="","",T(INDIRECT("'"&amp;A149&amp;"'!"&amp;ADDRESS(9, COLUMN(INDIRECT("'"&amp;A149&amp;"'!"&amp;C149))))))</f>
        <v/>
      </c>
      <c r="J149" t="s">
        <v>1594</v>
      </c>
      <c r="K149" t="s">
        <v>1654</v>
      </c>
      <c r="L149" t="s">
        <v>1657</v>
      </c>
    </row>
    <row r="150" spans="1:14" ht="15" customHeight="1">
      <c r="A150" s="154" t="s">
        <v>265</v>
      </c>
      <c r="E150" s="155" cm="1">
        <f t="array" aca="1" ref="E150" ca="1">IF(C150="", INDIRECT("'"&amp;A150&amp;"'!B3"), INDEX(INDIRECT("'"&amp;A150&amp;"'!5:5"), COLUMN(INDIRECT("'"&amp;A150&amp;"'!"&amp;C150))))</f>
        <v>0</v>
      </c>
      <c r="F150" s="155" t="str" cm="1">
        <f t="array" aca="1" ref="F150" ca="1">IF(C150="", "", INDEX(INDIRECT("'"&amp;A150&amp;"'!3:3"), COLUMN(INDIRECT("'"&amp;A150&amp;"'!"&amp;C150))))</f>
        <v/>
      </c>
      <c r="G150" s="154" t="str" cm="1">
        <f t="array" aca="1" ref="G150" ca="1">IF(C150="", "", INDEX(INDIRECT("'"&amp;A150&amp;"'!8:8"), COLUMN(INDIRECT("'"&amp;A150&amp;"'!"&amp;C150))))</f>
        <v/>
      </c>
      <c r="H150" s="154" t="str" cm="1">
        <f t="array" aca="1" ref="H150" ca="1">IF(C150="","",T(INDIRECT("'"&amp;A150&amp;"'!"&amp;ADDRESS(7, COLUMN(INDIRECT("'"&amp;A150&amp;"'!"&amp;C150))))))</f>
        <v/>
      </c>
      <c r="I150" s="154" t="str" cm="1">
        <f t="array" aca="1" ref="I150" ca="1">IF(C150="","",T(INDIRECT("'"&amp;A150&amp;"'!"&amp;ADDRESS(9, COLUMN(INDIRECT("'"&amp;A150&amp;"'!"&amp;C150))))))</f>
        <v/>
      </c>
    </row>
    <row r="151" spans="1:14" ht="15" customHeight="1">
      <c r="A151" s="154" t="s">
        <v>265</v>
      </c>
      <c r="B151" s="154" t="s">
        <v>81</v>
      </c>
      <c r="C151" t="s">
        <v>1549</v>
      </c>
      <c r="D151" s="154" t="s">
        <v>267</v>
      </c>
      <c r="E151" s="155" t="str" cm="1">
        <f t="array" aca="1" ref="E151" ca="1">IF(C151="", INDIRECT("'"&amp;A151&amp;"'!B3"), INDEX(INDIRECT("'"&amp;A151&amp;"'!5:5"), COLUMN(INDIRECT("'"&amp;A151&amp;"'!"&amp;C151))))</f>
        <v>Funds-to-Crypto - Value</v>
      </c>
      <c r="F151" s="155" cm="1">
        <f t="array" aca="1" ref="F151" ca="1">IF(C151="", "", INDEX(INDIRECT("'"&amp;A151&amp;"'!3:3"), COLUMN(INDIRECT("'"&amp;A151&amp;"'!"&amp;C151))))</f>
        <v>0</v>
      </c>
      <c r="G151" s="154" t="str" cm="1">
        <f t="array" aca="1" ref="G151" ca="1">IF(C151="", "", INDEX(INDIRECT("'"&amp;A151&amp;"'!8:8"), COLUMN(INDIRECT("'"&amp;A151&amp;"'!"&amp;C151))))</f>
        <v>Monetary</v>
      </c>
      <c r="H151" s="154" t="str" cm="1">
        <f t="array" aca="1" ref="H151" ca="1">IF(C151="","",T(INDIRECT("'"&amp;A151&amp;"'!"&amp;ADDRESS(7, COLUMN(INDIRECT("'"&amp;A151&amp;"'!"&amp;C151))))))</f>
        <v>Flow</v>
      </c>
      <c r="I151" s="154" t="str" cm="1">
        <f t="array" aca="1" ref="I151" ca="1">IF(C151="","",T(INDIRECT("'"&amp;A151&amp;"'!"&amp;ADDRESS(9, COLUMN(INDIRECT("'"&amp;A151&amp;"'!"&amp;C151))))))</f>
        <v/>
      </c>
      <c r="J151" t="s">
        <v>1594</v>
      </c>
    </row>
    <row r="152" spans="1:14" ht="15" customHeight="1">
      <c r="A152" s="154" t="s">
        <v>265</v>
      </c>
      <c r="B152" s="154" t="s">
        <v>82</v>
      </c>
      <c r="C152" t="s">
        <v>1550</v>
      </c>
      <c r="D152" s="154" t="s">
        <v>267</v>
      </c>
      <c r="E152" s="155" t="str" cm="1">
        <f t="array" aca="1" ref="E152" ca="1">IF(C152="", INDIRECT("'"&amp;A152&amp;"'!B3"), INDEX(INDIRECT("'"&amp;A152&amp;"'!5:5"), COLUMN(INDIRECT("'"&amp;A152&amp;"'!"&amp;C152))))</f>
        <v>Funds-to-Crypto – Number</v>
      </c>
      <c r="F152" s="155" cm="1">
        <f t="array" aca="1" ref="F152" ca="1">IF(C152="", "", INDEX(INDIRECT("'"&amp;A152&amp;"'!3:3"), COLUMN(INDIRECT("'"&amp;A152&amp;"'!"&amp;C152))))</f>
        <v>0</v>
      </c>
      <c r="G152" s="154" t="str" cm="1">
        <f t="array" aca="1" ref="G152" ca="1">IF(C152="", "", INDEX(INDIRECT("'"&amp;A152&amp;"'!8:8"), COLUMN(INDIRECT("'"&amp;A152&amp;"'!"&amp;C152))))</f>
        <v>Integer</v>
      </c>
      <c r="H152" s="154" t="str" cm="1">
        <f t="array" aca="1" ref="H152" ca="1">IF(C152="","",T(INDIRECT("'"&amp;A152&amp;"'!"&amp;ADDRESS(7, COLUMN(INDIRECT("'"&amp;A152&amp;"'!"&amp;C152))))))</f>
        <v>Flow</v>
      </c>
      <c r="I152" s="154" t="str" cm="1">
        <f t="array" aca="1" ref="I152" ca="1">IF(C152="","",T(INDIRECT("'"&amp;A152&amp;"'!"&amp;ADDRESS(9, COLUMN(INDIRECT("'"&amp;A152&amp;"'!"&amp;C152))))))</f>
        <v/>
      </c>
      <c r="J152" t="s">
        <v>1596</v>
      </c>
    </row>
    <row r="153" spans="1:14" ht="15" customHeight="1">
      <c r="A153" s="154" t="s">
        <v>265</v>
      </c>
      <c r="B153" s="154" t="s">
        <v>83</v>
      </c>
      <c r="C153" t="s">
        <v>1551</v>
      </c>
      <c r="D153" s="154" t="s">
        <v>267</v>
      </c>
      <c r="E153" s="155" t="str" cm="1">
        <f t="array" aca="1" ref="E153" ca="1">IF(C153="", INDIRECT("'"&amp;A153&amp;"'!B3"), INDEX(INDIRECT("'"&amp;A153&amp;"'!5:5"), COLUMN(INDIRECT("'"&amp;A153&amp;"'!"&amp;C153))))</f>
        <v>Funds to Crypto - Customers</v>
      </c>
      <c r="F153" s="155" cm="1">
        <f t="array" aca="1" ref="F153" ca="1">IF(C153="", "", INDEX(INDIRECT("'"&amp;A153&amp;"'!3:3"), COLUMN(INDIRECT("'"&amp;A153&amp;"'!"&amp;C153))))</f>
        <v>0</v>
      </c>
      <c r="G153" s="154" t="str" cm="1">
        <f t="array" aca="1" ref="G153" ca="1">IF(C153="", "", INDEX(INDIRECT("'"&amp;A153&amp;"'!8:8"), COLUMN(INDIRECT("'"&amp;A153&amp;"'!"&amp;C153))))</f>
        <v>Integer</v>
      </c>
      <c r="H153" s="154" t="str" cm="1">
        <f t="array" aca="1" ref="H153" ca="1">IF(C153="","",T(INDIRECT("'"&amp;A153&amp;"'!"&amp;ADDRESS(7, COLUMN(INDIRECT("'"&amp;A153&amp;"'!"&amp;C153))))))</f>
        <v>Flow</v>
      </c>
      <c r="I153" s="154" t="str" cm="1">
        <f t="array" aca="1" ref="I153" ca="1">IF(C153="","",T(INDIRECT("'"&amp;A153&amp;"'!"&amp;ADDRESS(9, COLUMN(INDIRECT("'"&amp;A153&amp;"'!"&amp;C153))))))</f>
        <v/>
      </c>
      <c r="J153" t="s">
        <v>1578</v>
      </c>
    </row>
    <row r="154" spans="1:14" ht="15" customHeight="1">
      <c r="A154" s="154" t="s">
        <v>265</v>
      </c>
      <c r="B154" s="154" t="s">
        <v>84</v>
      </c>
      <c r="C154" t="s">
        <v>1552</v>
      </c>
      <c r="D154" s="154" t="s">
        <v>267</v>
      </c>
      <c r="E154" s="155" t="str" cm="1">
        <f t="array" aca="1" ref="E154" ca="1">IF(C154="", INDIRECT("'"&amp;A154&amp;"'!B3"), INDEX(INDIRECT("'"&amp;A154&amp;"'!5:5"), COLUMN(INDIRECT("'"&amp;A154&amp;"'!"&amp;C154))))</f>
        <v>Funds-to-Crypto (to Self-hosted) – Number</v>
      </c>
      <c r="F154" s="155" cm="1">
        <f t="array" aca="1" ref="F154" ca="1">IF(C154="", "", INDEX(INDIRECT("'"&amp;A154&amp;"'!3:3"), COLUMN(INDIRECT("'"&amp;A154&amp;"'!"&amp;C154))))</f>
        <v>0</v>
      </c>
      <c r="G154" s="154" t="str" cm="1">
        <f t="array" aca="1" ref="G154" ca="1">IF(C154="", "", INDEX(INDIRECT("'"&amp;A154&amp;"'!8:8"), COLUMN(INDIRECT("'"&amp;A154&amp;"'!"&amp;C154))))</f>
        <v>Integer</v>
      </c>
      <c r="H154" s="154" t="str" cm="1">
        <f t="array" aca="1" ref="H154" ca="1">IF(C154="","",T(INDIRECT("'"&amp;A154&amp;"'!"&amp;ADDRESS(7, COLUMN(INDIRECT("'"&amp;A154&amp;"'!"&amp;C154))))))</f>
        <v>Flow</v>
      </c>
      <c r="I154" s="154" t="str" cm="1">
        <f t="array" aca="1" ref="I154" ca="1">IF(C154="","",T(INDIRECT("'"&amp;A154&amp;"'!"&amp;ADDRESS(9, COLUMN(INDIRECT("'"&amp;A154&amp;"'!"&amp;C154))))))</f>
        <v/>
      </c>
      <c r="J154" t="s">
        <v>1596</v>
      </c>
    </row>
    <row r="155" spans="1:14" ht="15" customHeight="1">
      <c r="A155" s="154" t="s">
        <v>265</v>
      </c>
      <c r="B155" s="154" t="s">
        <v>85</v>
      </c>
      <c r="C155" t="s">
        <v>1553</v>
      </c>
      <c r="D155" s="154" t="s">
        <v>268</v>
      </c>
      <c r="E155" s="155" t="str" cm="1">
        <f t="array" aca="1" ref="E155" ca="1">IF(C155="", INDIRECT("'"&amp;A155&amp;"'!B3"), INDEX(INDIRECT("'"&amp;A155&amp;"'!5:5"), COLUMN(INDIRECT("'"&amp;A155&amp;"'!"&amp;C155))))</f>
        <v>Crypto-to-Funds - Value</v>
      </c>
      <c r="F155" s="155" cm="1">
        <f t="array" aca="1" ref="F155" ca="1">IF(C155="", "", INDEX(INDIRECT("'"&amp;A155&amp;"'!3:3"), COLUMN(INDIRECT("'"&amp;A155&amp;"'!"&amp;C155))))</f>
        <v>0</v>
      </c>
      <c r="G155" s="154" t="str" cm="1">
        <f t="array" aca="1" ref="G155" ca="1">IF(C155="", "", INDEX(INDIRECT("'"&amp;A155&amp;"'!8:8"), COLUMN(INDIRECT("'"&amp;A155&amp;"'!"&amp;C155))))</f>
        <v>Monetary</v>
      </c>
      <c r="H155" s="154" t="str" cm="1">
        <f t="array" aca="1" ref="H155" ca="1">IF(C155="","",T(INDIRECT("'"&amp;A155&amp;"'!"&amp;ADDRESS(7, COLUMN(INDIRECT("'"&amp;A155&amp;"'!"&amp;C155))))))</f>
        <v>Flow</v>
      </c>
      <c r="I155" s="154" t="str" cm="1">
        <f t="array" aca="1" ref="I155" ca="1">IF(C155="","",T(INDIRECT("'"&amp;A155&amp;"'!"&amp;ADDRESS(9, COLUMN(INDIRECT("'"&amp;A155&amp;"'!"&amp;C155))))))</f>
        <v/>
      </c>
      <c r="J155" t="s">
        <v>1594</v>
      </c>
    </row>
    <row r="156" spans="1:14" ht="15" customHeight="1">
      <c r="A156" s="154" t="s">
        <v>265</v>
      </c>
      <c r="B156" s="154" t="s">
        <v>86</v>
      </c>
      <c r="C156" t="s">
        <v>1554</v>
      </c>
      <c r="D156" s="154" t="s">
        <v>268</v>
      </c>
      <c r="E156" s="155" t="str" cm="1">
        <f t="array" aca="1" ref="E156" ca="1">IF(C156="", INDIRECT("'"&amp;A156&amp;"'!B3"), INDEX(INDIRECT("'"&amp;A156&amp;"'!5:5"), COLUMN(INDIRECT("'"&amp;A156&amp;"'!"&amp;C156))))</f>
        <v>Crypto-to-Funds - Number</v>
      </c>
      <c r="F156" s="155" cm="1">
        <f t="array" aca="1" ref="F156" ca="1">IF(C156="", "", INDEX(INDIRECT("'"&amp;A156&amp;"'!3:3"), COLUMN(INDIRECT("'"&amp;A156&amp;"'!"&amp;C156))))</f>
        <v>0</v>
      </c>
      <c r="G156" s="154" t="str" cm="1">
        <f t="array" aca="1" ref="G156" ca="1">IF(C156="", "", INDEX(INDIRECT("'"&amp;A156&amp;"'!8:8"), COLUMN(INDIRECT("'"&amp;A156&amp;"'!"&amp;C156))))</f>
        <v>Integer</v>
      </c>
      <c r="H156" s="154" t="str" cm="1">
        <f t="array" aca="1" ref="H156" ca="1">IF(C156="","",T(INDIRECT("'"&amp;A156&amp;"'!"&amp;ADDRESS(7, COLUMN(INDIRECT("'"&amp;A156&amp;"'!"&amp;C156))))))</f>
        <v>Flow</v>
      </c>
      <c r="I156" s="154" t="str" cm="1">
        <f t="array" aca="1" ref="I156" ca="1">IF(C156="","",T(INDIRECT("'"&amp;A156&amp;"'!"&amp;ADDRESS(9, COLUMN(INDIRECT("'"&amp;A156&amp;"'!"&amp;C156))))))</f>
        <v/>
      </c>
      <c r="J156" t="s">
        <v>1596</v>
      </c>
    </row>
    <row r="157" spans="1:14" ht="15" customHeight="1">
      <c r="A157" s="154" t="s">
        <v>265</v>
      </c>
      <c r="B157" s="154" t="s">
        <v>87</v>
      </c>
      <c r="C157" t="s">
        <v>1555</v>
      </c>
      <c r="D157" s="154" t="s">
        <v>268</v>
      </c>
      <c r="E157" s="155" t="str" cm="1">
        <f t="array" aca="1" ref="E157" ca="1">IF(C157="", INDIRECT("'"&amp;A157&amp;"'!B3"), INDEX(INDIRECT("'"&amp;A157&amp;"'!5:5"), COLUMN(INDIRECT("'"&amp;A157&amp;"'!"&amp;C157))))</f>
        <v>Crypto-to-Funds - Customers</v>
      </c>
      <c r="F157" s="155" cm="1">
        <f t="array" aca="1" ref="F157" ca="1">IF(C157="", "", INDEX(INDIRECT("'"&amp;A157&amp;"'!3:3"), COLUMN(INDIRECT("'"&amp;A157&amp;"'!"&amp;C157))))</f>
        <v>0</v>
      </c>
      <c r="G157" s="154" t="str" cm="1">
        <f t="array" aca="1" ref="G157" ca="1">IF(C157="", "", INDEX(INDIRECT("'"&amp;A157&amp;"'!8:8"), COLUMN(INDIRECT("'"&amp;A157&amp;"'!"&amp;C157))))</f>
        <v>Integer</v>
      </c>
      <c r="H157" s="154" t="str" cm="1">
        <f t="array" aca="1" ref="H157" ca="1">IF(C157="","",T(INDIRECT("'"&amp;A157&amp;"'!"&amp;ADDRESS(7, COLUMN(INDIRECT("'"&amp;A157&amp;"'!"&amp;C157))))))</f>
        <v>Flow</v>
      </c>
      <c r="I157" s="154" t="str" cm="1">
        <f t="array" aca="1" ref="I157" ca="1">IF(C157="","",T(INDIRECT("'"&amp;A157&amp;"'!"&amp;ADDRESS(9, COLUMN(INDIRECT("'"&amp;A157&amp;"'!"&amp;C157))))))</f>
        <v/>
      </c>
      <c r="J157" t="s">
        <v>1578</v>
      </c>
    </row>
    <row r="158" spans="1:14" ht="15" customHeight="1">
      <c r="A158" s="154" t="s">
        <v>265</v>
      </c>
      <c r="B158" s="154" t="s">
        <v>88</v>
      </c>
      <c r="C158" t="s">
        <v>1556</v>
      </c>
      <c r="D158" s="154" t="s">
        <v>268</v>
      </c>
      <c r="E158" s="155" t="str" cm="1">
        <f t="array" aca="1" ref="E158" ca="1">IF(C158="", INDIRECT("'"&amp;A158&amp;"'!B3"), INDEX(INDIRECT("'"&amp;A158&amp;"'!5:5"), COLUMN(INDIRECT("'"&amp;A158&amp;"'!"&amp;C158))))</f>
        <v>Crypto-to-Funds (from Self-hosted) - Number</v>
      </c>
      <c r="F158" s="155" cm="1">
        <f t="array" aca="1" ref="F158" ca="1">IF(C158="", "", INDEX(INDIRECT("'"&amp;A158&amp;"'!3:3"), COLUMN(INDIRECT("'"&amp;A158&amp;"'!"&amp;C158))))</f>
        <v>0</v>
      </c>
      <c r="G158" s="154" t="str" cm="1">
        <f t="array" aca="1" ref="G158" ca="1">IF(C158="", "", INDEX(INDIRECT("'"&amp;A158&amp;"'!8:8"), COLUMN(INDIRECT("'"&amp;A158&amp;"'!"&amp;C158))))</f>
        <v>Integer</v>
      </c>
      <c r="H158" s="154" t="str" cm="1">
        <f t="array" aca="1" ref="H158" ca="1">IF(C158="","",T(INDIRECT("'"&amp;A158&amp;"'!"&amp;ADDRESS(7, COLUMN(INDIRECT("'"&amp;A158&amp;"'!"&amp;C158))))))</f>
        <v>Flow</v>
      </c>
      <c r="I158" s="154" t="str" cm="1">
        <f t="array" aca="1" ref="I158" ca="1">IF(C158="","",T(INDIRECT("'"&amp;A158&amp;"'!"&amp;ADDRESS(9, COLUMN(INDIRECT("'"&amp;A158&amp;"'!"&amp;C158))))))</f>
        <v/>
      </c>
      <c r="J158" t="s">
        <v>1596</v>
      </c>
    </row>
    <row r="159" spans="1:14" ht="15" customHeight="1">
      <c r="A159" s="154" t="s">
        <v>265</v>
      </c>
      <c r="B159" s="154" t="s">
        <v>89</v>
      </c>
      <c r="C159" t="s">
        <v>1557</v>
      </c>
      <c r="D159" s="154" t="s">
        <v>1658</v>
      </c>
      <c r="E159" s="155" t="str" cm="1">
        <f t="array" aca="1" ref="E159" ca="1">IF(C159="", INDIRECT("'"&amp;A159&amp;"'!B3"), INDEX(INDIRECT("'"&amp;A159&amp;"'!5:5"), COLUMN(INDIRECT("'"&amp;A159&amp;"'!"&amp;C159))))</f>
        <v>Crypto-to-Crypto - Value</v>
      </c>
      <c r="F159" s="155" cm="1">
        <f t="array" aca="1" ref="F159" ca="1">IF(C159="", "", INDEX(INDIRECT("'"&amp;A159&amp;"'!3:3"), COLUMN(INDIRECT("'"&amp;A159&amp;"'!"&amp;C159))))</f>
        <v>0</v>
      </c>
      <c r="G159" s="154" t="str" cm="1">
        <f t="array" aca="1" ref="G159" ca="1">IF(C159="", "", INDEX(INDIRECT("'"&amp;A159&amp;"'!8:8"), COLUMN(INDIRECT("'"&amp;A159&amp;"'!"&amp;C159))))</f>
        <v>Monetary</v>
      </c>
      <c r="H159" s="154" t="str" cm="1">
        <f t="array" aca="1" ref="H159" ca="1">IF(C159="","",T(INDIRECT("'"&amp;A159&amp;"'!"&amp;ADDRESS(7, COLUMN(INDIRECT("'"&amp;A159&amp;"'!"&amp;C159))))))</f>
        <v>Flow</v>
      </c>
      <c r="I159" s="154" t="str" cm="1">
        <f t="array" aca="1" ref="I159" ca="1">IF(C159="","",T(INDIRECT("'"&amp;A159&amp;"'!"&amp;ADDRESS(9, COLUMN(INDIRECT("'"&amp;A159&amp;"'!"&amp;C159))))))</f>
        <v/>
      </c>
      <c r="J159" t="s">
        <v>1594</v>
      </c>
    </row>
    <row r="160" spans="1:14" ht="15" customHeight="1">
      <c r="A160" s="154" t="s">
        <v>265</v>
      </c>
      <c r="B160" s="154" t="s">
        <v>90</v>
      </c>
      <c r="C160" t="s">
        <v>1558</v>
      </c>
      <c r="D160" s="154" t="s">
        <v>1658</v>
      </c>
      <c r="E160" s="155" t="str" cm="1">
        <f t="array" aca="1" ref="E160" ca="1">IF(C160="", INDIRECT("'"&amp;A160&amp;"'!B3"), INDEX(INDIRECT("'"&amp;A160&amp;"'!5:5"), COLUMN(INDIRECT("'"&amp;A160&amp;"'!"&amp;C160))))</f>
        <v>Crypto-to-Crypto - Customers</v>
      </c>
      <c r="F160" s="155" cm="1">
        <f t="array" aca="1" ref="F160" ca="1">IF(C160="", "", INDEX(INDIRECT("'"&amp;A160&amp;"'!3:3"), COLUMN(INDIRECT("'"&amp;A160&amp;"'!"&amp;C160))))</f>
        <v>0</v>
      </c>
      <c r="G160" s="154" t="str" cm="1">
        <f t="array" aca="1" ref="G160" ca="1">IF(C160="", "", INDEX(INDIRECT("'"&amp;A160&amp;"'!8:8"), COLUMN(INDIRECT("'"&amp;A160&amp;"'!"&amp;C160))))</f>
        <v>Integer</v>
      </c>
      <c r="H160" s="154" t="str" cm="1">
        <f t="array" aca="1" ref="H160" ca="1">IF(C160="","",T(INDIRECT("'"&amp;A160&amp;"'!"&amp;ADDRESS(7, COLUMN(INDIRECT("'"&amp;A160&amp;"'!"&amp;C160))))))</f>
        <v>Flow</v>
      </c>
      <c r="I160" s="154" t="str" cm="1">
        <f t="array" aca="1" ref="I160" ca="1">IF(C160="","",T(INDIRECT("'"&amp;A160&amp;"'!"&amp;ADDRESS(9, COLUMN(INDIRECT("'"&amp;A160&amp;"'!"&amp;C160))))))</f>
        <v/>
      </c>
      <c r="J160" t="s">
        <v>1578</v>
      </c>
    </row>
    <row r="161" spans="1:12" ht="15" customHeight="1">
      <c r="A161" s="154" t="s">
        <v>265</v>
      </c>
      <c r="B161" s="154" t="s">
        <v>91</v>
      </c>
      <c r="C161" t="s">
        <v>1559</v>
      </c>
      <c r="D161" s="154" t="s">
        <v>1658</v>
      </c>
      <c r="E161" s="155" t="str" cm="1">
        <f t="array" aca="1" ref="E161" ca="1">IF(C161="", INDIRECT("'"&amp;A161&amp;"'!B3"), INDEX(INDIRECT("'"&amp;A161&amp;"'!5:5"), COLUMN(INDIRECT("'"&amp;A161&amp;"'!"&amp;C161))))</f>
        <v>Crypto-to-Crypto - Number</v>
      </c>
      <c r="F161" s="155" cm="1">
        <f t="array" aca="1" ref="F161" ca="1">IF(C161="", "", INDEX(INDIRECT("'"&amp;A161&amp;"'!3:3"), COLUMN(INDIRECT("'"&amp;A161&amp;"'!"&amp;C161))))</f>
        <v>0</v>
      </c>
      <c r="G161" s="154" t="str" cm="1">
        <f t="array" aca="1" ref="G161" ca="1">IF(C161="", "", INDEX(INDIRECT("'"&amp;A161&amp;"'!8:8"), COLUMN(INDIRECT("'"&amp;A161&amp;"'!"&amp;C161))))</f>
        <v>Integer</v>
      </c>
      <c r="H161" s="154" t="str" cm="1">
        <f t="array" aca="1" ref="H161" ca="1">IF(C161="","",T(INDIRECT("'"&amp;A161&amp;"'!"&amp;ADDRESS(7, COLUMN(INDIRECT("'"&amp;A161&amp;"'!"&amp;C161))))))</f>
        <v>Flow</v>
      </c>
      <c r="I161" s="154" t="str" cm="1">
        <f t="array" aca="1" ref="I161" ca="1">IF(C161="","",T(INDIRECT("'"&amp;A161&amp;"'!"&amp;ADDRESS(9, COLUMN(INDIRECT("'"&amp;A161&amp;"'!"&amp;C161))))))</f>
        <v/>
      </c>
      <c r="J161" t="s">
        <v>1596</v>
      </c>
    </row>
    <row r="162" spans="1:12" ht="15" customHeight="1">
      <c r="A162" s="154" t="s">
        <v>265</v>
      </c>
      <c r="B162" s="154" t="s">
        <v>92</v>
      </c>
      <c r="C162" t="s">
        <v>1560</v>
      </c>
      <c r="D162" s="154" t="s">
        <v>1658</v>
      </c>
      <c r="E162" s="155" t="str" cm="1">
        <f t="array" aca="1" ref="E162" ca="1">IF(C162="", INDIRECT("'"&amp;A162&amp;"'!B3"), INDEX(INDIRECT("'"&amp;A162&amp;"'!5:5"), COLUMN(INDIRECT("'"&amp;A162&amp;"'!"&amp;C162))))</f>
        <v>Crypto-to-Crypto (to Self-hosted) - Number</v>
      </c>
      <c r="F162" s="155" cm="1">
        <f t="array" aca="1" ref="F162" ca="1">IF(C162="", "", INDEX(INDIRECT("'"&amp;A162&amp;"'!3:3"), COLUMN(INDIRECT("'"&amp;A162&amp;"'!"&amp;C162))))</f>
        <v>0</v>
      </c>
      <c r="G162" s="154" t="str" cm="1">
        <f t="array" aca="1" ref="G162" ca="1">IF(C162="", "", INDEX(INDIRECT("'"&amp;A162&amp;"'!8:8"), COLUMN(INDIRECT("'"&amp;A162&amp;"'!"&amp;C162))))</f>
        <v>Integer</v>
      </c>
      <c r="H162" s="154" t="str" cm="1">
        <f t="array" aca="1" ref="H162" ca="1">IF(C162="","",T(INDIRECT("'"&amp;A162&amp;"'!"&amp;ADDRESS(7, COLUMN(INDIRECT("'"&amp;A162&amp;"'!"&amp;C162))))))</f>
        <v>Flow</v>
      </c>
      <c r="I162" s="154" t="str" cm="1">
        <f t="array" aca="1" ref="I162" ca="1">IF(C162="","",T(INDIRECT("'"&amp;A162&amp;"'!"&amp;ADDRESS(9, COLUMN(INDIRECT("'"&amp;A162&amp;"'!"&amp;C162))))))</f>
        <v/>
      </c>
      <c r="J162" t="s">
        <v>1596</v>
      </c>
    </row>
    <row r="163" spans="1:12" ht="15" customHeight="1">
      <c r="A163" s="154" t="s">
        <v>265</v>
      </c>
      <c r="B163" s="154" t="s">
        <v>93</v>
      </c>
      <c r="C163" t="s">
        <v>1561</v>
      </c>
      <c r="D163" s="154" t="s">
        <v>1658</v>
      </c>
      <c r="E163" s="155" t="str" cm="1">
        <f t="array" aca="1" ref="E163" ca="1">IF(C163="", INDIRECT("'"&amp;A163&amp;"'!B3"), INDEX(INDIRECT("'"&amp;A163&amp;"'!5:5"), COLUMN(INDIRECT("'"&amp;A163&amp;"'!"&amp;C163))))</f>
        <v>Crypto-to-Crypto (from Self-hosted) - Number</v>
      </c>
      <c r="F163" s="155" cm="1">
        <f t="array" aca="1" ref="F163" ca="1">IF(C163="", "", INDEX(INDIRECT("'"&amp;A163&amp;"'!3:3"), COLUMN(INDIRECT("'"&amp;A163&amp;"'!"&amp;C163))))</f>
        <v>0</v>
      </c>
      <c r="G163" s="154" t="str" cm="1">
        <f t="array" aca="1" ref="G163" ca="1">IF(C163="", "", INDEX(INDIRECT("'"&amp;A163&amp;"'!8:8"), COLUMN(INDIRECT("'"&amp;A163&amp;"'!"&amp;C163))))</f>
        <v>Integer</v>
      </c>
      <c r="H163" s="154" t="str" cm="1">
        <f t="array" aca="1" ref="H163" ca="1">IF(C163="","",T(INDIRECT("'"&amp;A163&amp;"'!"&amp;ADDRESS(7, COLUMN(INDIRECT("'"&amp;A163&amp;"'!"&amp;C163))))))</f>
        <v>Flow</v>
      </c>
      <c r="I163" s="154" t="str" cm="1">
        <f t="array" aca="1" ref="I163" ca="1">IF(C163="","",T(INDIRECT("'"&amp;A163&amp;"'!"&amp;ADDRESS(9, COLUMN(INDIRECT("'"&amp;A163&amp;"'!"&amp;C163))))))</f>
        <v/>
      </c>
      <c r="J163" t="s">
        <v>1596</v>
      </c>
    </row>
    <row r="164" spans="1:12" ht="15" customHeight="1">
      <c r="A164" s="154" t="s">
        <v>265</v>
      </c>
      <c r="B164" s="154" t="s">
        <v>94</v>
      </c>
      <c r="C164" t="s">
        <v>1562</v>
      </c>
      <c r="D164" s="154" t="s">
        <v>270</v>
      </c>
      <c r="E164" s="155" t="str" cm="1">
        <f t="array" aca="1" ref="E164" ca="1">IF(C164="", INDIRECT("'"&amp;A164&amp;"'!B3"), INDEX(INDIRECT("'"&amp;A164&amp;"'!5:5"), COLUMN(INDIRECT("'"&amp;A164&amp;"'!"&amp;C164))))</f>
        <v>Transfers - Value</v>
      </c>
      <c r="F164" s="155" cm="1">
        <f t="array" aca="1" ref="F164" ca="1">IF(C164="", "", INDEX(INDIRECT("'"&amp;A164&amp;"'!3:3"), COLUMN(INDIRECT("'"&amp;A164&amp;"'!"&amp;C164))))</f>
        <v>0</v>
      </c>
      <c r="G164" s="154" t="str" cm="1">
        <f t="array" aca="1" ref="G164" ca="1">IF(C164="", "", INDEX(INDIRECT("'"&amp;A164&amp;"'!8:8"), COLUMN(INDIRECT("'"&amp;A164&amp;"'!"&amp;C164))))</f>
        <v>Monetary</v>
      </c>
      <c r="H164" s="154" t="str" cm="1">
        <f t="array" aca="1" ref="H164" ca="1">IF(C164="","",T(INDIRECT("'"&amp;A164&amp;"'!"&amp;ADDRESS(7, COLUMN(INDIRECT("'"&amp;A164&amp;"'!"&amp;C164))))))</f>
        <v>Flow</v>
      </c>
      <c r="I164" s="154" t="str" cm="1">
        <f t="array" aca="1" ref="I164" ca="1">IF(C164="","",T(INDIRECT("'"&amp;A164&amp;"'!"&amp;ADDRESS(9, COLUMN(INDIRECT("'"&amp;A164&amp;"'!"&amp;C164))))))</f>
        <v/>
      </c>
      <c r="J164" t="s">
        <v>1594</v>
      </c>
    </row>
    <row r="165" spans="1:12" ht="15" customHeight="1">
      <c r="A165" s="154" t="s">
        <v>265</v>
      </c>
      <c r="B165" s="154" t="s">
        <v>95</v>
      </c>
      <c r="C165" t="s">
        <v>1563</v>
      </c>
      <c r="D165" s="154" t="s">
        <v>270</v>
      </c>
      <c r="E165" s="155" t="str" cm="1">
        <f t="array" aca="1" ref="E165" ca="1">IF(C165="", INDIRECT("'"&amp;A165&amp;"'!B3"), INDEX(INDIRECT("'"&amp;A165&amp;"'!5:5"), COLUMN(INDIRECT("'"&amp;A165&amp;"'!"&amp;C165))))</f>
        <v>Transfers - Customers</v>
      </c>
      <c r="F165" s="155" cm="1">
        <f t="array" aca="1" ref="F165" ca="1">IF(C165="", "", INDEX(INDIRECT("'"&amp;A165&amp;"'!3:3"), COLUMN(INDIRECT("'"&amp;A165&amp;"'!"&amp;C165))))</f>
        <v>0</v>
      </c>
      <c r="G165" s="154" t="str" cm="1">
        <f t="array" aca="1" ref="G165" ca="1">IF(C165="", "", INDEX(INDIRECT("'"&amp;A165&amp;"'!8:8"), COLUMN(INDIRECT("'"&amp;A165&amp;"'!"&amp;C165))))</f>
        <v>Integer</v>
      </c>
      <c r="H165" s="154" t="str" cm="1">
        <f t="array" aca="1" ref="H165" ca="1">IF(C165="","",T(INDIRECT("'"&amp;A165&amp;"'!"&amp;ADDRESS(7, COLUMN(INDIRECT("'"&amp;A165&amp;"'!"&amp;C165))))))</f>
        <v>Flow</v>
      </c>
      <c r="I165" s="154" t="str" cm="1">
        <f t="array" aca="1" ref="I165" ca="1">IF(C165="","",T(INDIRECT("'"&amp;A165&amp;"'!"&amp;ADDRESS(9, COLUMN(INDIRECT("'"&amp;A165&amp;"'!"&amp;C165))))))</f>
        <v/>
      </c>
      <c r="J165" t="s">
        <v>1578</v>
      </c>
    </row>
    <row r="166" spans="1:12" ht="15" customHeight="1">
      <c r="A166" s="154" t="s">
        <v>265</v>
      </c>
      <c r="B166" s="154" t="s">
        <v>96</v>
      </c>
      <c r="C166" t="s">
        <v>1564</v>
      </c>
      <c r="D166" s="154" t="s">
        <v>270</v>
      </c>
      <c r="E166" s="155" t="str" cm="1">
        <f t="array" aca="1" ref="E166" ca="1">IF(C166="", INDIRECT("'"&amp;A166&amp;"'!B3"), INDEX(INDIRECT("'"&amp;A166&amp;"'!5:5"), COLUMN(INDIRECT("'"&amp;A166&amp;"'!"&amp;C166))))</f>
        <v>Transfers - Number</v>
      </c>
      <c r="F166" s="155" cm="1">
        <f t="array" aca="1" ref="F166" ca="1">IF(C166="", "", INDEX(INDIRECT("'"&amp;A166&amp;"'!3:3"), COLUMN(INDIRECT("'"&amp;A166&amp;"'!"&amp;C166))))</f>
        <v>0</v>
      </c>
      <c r="G166" s="154" t="str" cm="1">
        <f t="array" aca="1" ref="G166" ca="1">IF(C166="", "", INDEX(INDIRECT("'"&amp;A166&amp;"'!8:8"), COLUMN(INDIRECT("'"&amp;A166&amp;"'!"&amp;C166))))</f>
        <v>Integer</v>
      </c>
      <c r="H166" s="154" t="str" cm="1">
        <f t="array" aca="1" ref="H166" ca="1">IF(C166="","",T(INDIRECT("'"&amp;A166&amp;"'!"&amp;ADDRESS(7, COLUMN(INDIRECT("'"&amp;A166&amp;"'!"&amp;C166))))))</f>
        <v>Flow</v>
      </c>
      <c r="I166" s="154" t="str" cm="1">
        <f t="array" aca="1" ref="I166" ca="1">IF(C166="","",T(INDIRECT("'"&amp;A166&amp;"'!"&amp;ADDRESS(9, COLUMN(INDIRECT("'"&amp;A166&amp;"'!"&amp;C166))))))</f>
        <v/>
      </c>
    </row>
    <row r="167" spans="1:12" ht="15" customHeight="1">
      <c r="A167" s="154" t="s">
        <v>265</v>
      </c>
      <c r="B167" s="154" t="s">
        <v>97</v>
      </c>
      <c r="C167" t="s">
        <v>1565</v>
      </c>
      <c r="D167" s="154" t="s">
        <v>270</v>
      </c>
      <c r="E167" s="155" t="str" cm="1">
        <f t="array" aca="1" ref="E167" ca="1">IF(C167="", INDIRECT("'"&amp;A167&amp;"'!B3"), INDEX(INDIRECT("'"&amp;A167&amp;"'!5:5"), COLUMN(INDIRECT("'"&amp;A167&amp;"'!"&amp;C167))))</f>
        <v>Transfers (to Self-hosted) – Number</v>
      </c>
      <c r="F167" s="155" cm="1">
        <f t="array" aca="1" ref="F167" ca="1">IF(C167="", "", INDEX(INDIRECT("'"&amp;A167&amp;"'!3:3"), COLUMN(INDIRECT("'"&amp;A167&amp;"'!"&amp;C167))))</f>
        <v>0</v>
      </c>
      <c r="G167" s="154" t="str" cm="1">
        <f t="array" aca="1" ref="G167" ca="1">IF(C167="", "", INDEX(INDIRECT("'"&amp;A167&amp;"'!8:8"), COLUMN(INDIRECT("'"&amp;A167&amp;"'!"&amp;C167))))</f>
        <v>Integer</v>
      </c>
      <c r="H167" s="154" t="str" cm="1">
        <f t="array" aca="1" ref="H167" ca="1">IF(C167="","",T(INDIRECT("'"&amp;A167&amp;"'!"&amp;ADDRESS(7, COLUMN(INDIRECT("'"&amp;A167&amp;"'!"&amp;C167))))))</f>
        <v>Flow</v>
      </c>
      <c r="I167" s="154" t="str" cm="1">
        <f t="array" aca="1" ref="I167" ca="1">IF(C167="","",T(INDIRECT("'"&amp;A167&amp;"'!"&amp;ADDRESS(9, COLUMN(INDIRECT("'"&amp;A167&amp;"'!"&amp;C167))))))</f>
        <v/>
      </c>
      <c r="J167" t="s">
        <v>1596</v>
      </c>
    </row>
    <row r="168" spans="1:12" ht="15" customHeight="1">
      <c r="A168" s="154" t="s">
        <v>265</v>
      </c>
      <c r="B168" s="154" t="s">
        <v>98</v>
      </c>
      <c r="C168" t="s">
        <v>1566</v>
      </c>
      <c r="D168" s="154" t="s">
        <v>270</v>
      </c>
      <c r="E168" s="155" t="str" cm="1">
        <f t="array" aca="1" ref="E168" ca="1">IF(C168="", INDIRECT("'"&amp;A168&amp;"'!B3"), INDEX(INDIRECT("'"&amp;A168&amp;"'!5:5"), COLUMN(INDIRECT("'"&amp;A168&amp;"'!"&amp;C168))))</f>
        <v>Transfers (from Self-hosted) - Number</v>
      </c>
      <c r="F168" s="155" cm="1">
        <f t="array" aca="1" ref="F168" ca="1">IF(C168="", "", INDEX(INDIRECT("'"&amp;A168&amp;"'!3:3"), COLUMN(INDIRECT("'"&amp;A168&amp;"'!"&amp;C168))))</f>
        <v>0</v>
      </c>
      <c r="G168" s="154" t="str" cm="1">
        <f t="array" aca="1" ref="G168" ca="1">IF(C168="", "", INDEX(INDIRECT("'"&amp;A168&amp;"'!8:8"), COLUMN(INDIRECT("'"&amp;A168&amp;"'!"&amp;C168))))</f>
        <v>Integer</v>
      </c>
      <c r="H168" s="154" t="str" cm="1">
        <f t="array" aca="1" ref="H168" ca="1">IF(C168="","",T(INDIRECT("'"&amp;A168&amp;"'!"&amp;ADDRESS(7, COLUMN(INDIRECT("'"&amp;A168&amp;"'!"&amp;C168))))))</f>
        <v>Flow</v>
      </c>
      <c r="I168" s="154" t="str" cm="1">
        <f t="array" aca="1" ref="I168" ca="1">IF(C168="","",T(INDIRECT("'"&amp;A168&amp;"'!"&amp;ADDRESS(9, COLUMN(INDIRECT("'"&amp;A168&amp;"'!"&amp;C168))))))</f>
        <v/>
      </c>
      <c r="J168" t="s">
        <v>1596</v>
      </c>
    </row>
    <row r="169" spans="1:12" ht="15" customHeight="1">
      <c r="A169" s="154" t="s">
        <v>289</v>
      </c>
      <c r="E169" s="155" cm="1">
        <f t="array" aca="1" ref="E169" ca="1">IF(C169="", INDIRECT("'"&amp;A169&amp;"'!B3"), INDEX(INDIRECT("'"&amp;A169&amp;"'!5:5"), COLUMN(INDIRECT("'"&amp;A169&amp;"'!"&amp;C169))))</f>
        <v>0</v>
      </c>
      <c r="F169" s="155" t="str" cm="1">
        <f t="array" aca="1" ref="F169" ca="1">IF(C169="", "", INDEX(INDIRECT("'"&amp;A169&amp;"'!3:3"), COLUMN(INDIRECT("'"&amp;A169&amp;"'!"&amp;C169))))</f>
        <v/>
      </c>
      <c r="G169" s="154" t="str" cm="1">
        <f t="array" aca="1" ref="G169" ca="1">IF(C169="", "", INDEX(INDIRECT("'"&amp;A169&amp;"'!8:8"), COLUMN(INDIRECT("'"&amp;A169&amp;"'!"&amp;C169))))</f>
        <v/>
      </c>
      <c r="H169" s="154" t="str" cm="1">
        <f t="array" aca="1" ref="H169" ca="1">IF(C169="","",T(INDIRECT("'"&amp;A169&amp;"'!"&amp;ADDRESS(7, COLUMN(INDIRECT("'"&amp;A169&amp;"'!"&amp;C169))))))</f>
        <v/>
      </c>
      <c r="I169" s="154" t="str" cm="1">
        <f t="array" aca="1" ref="I169" ca="1">IF(C169="","",T(INDIRECT("'"&amp;A169&amp;"'!"&amp;ADDRESS(9, COLUMN(INDIRECT("'"&amp;A169&amp;"'!"&amp;C169))))))</f>
        <v/>
      </c>
    </row>
    <row r="170" spans="1:12" ht="15" customHeight="1">
      <c r="A170" s="154" t="s">
        <v>289</v>
      </c>
      <c r="B170" s="154" t="s">
        <v>81</v>
      </c>
      <c r="C170" t="s">
        <v>1549</v>
      </c>
      <c r="D170" s="154" t="s">
        <v>74</v>
      </c>
      <c r="E170" s="155" t="str" cm="1">
        <f t="array" aca="1" ref="E170" ca="1">IF(C170="", INDIRECT("'"&amp;A170&amp;"'!B3"), INDEX(INDIRECT("'"&amp;A170&amp;"'!5:5"), COLUMN(INDIRECT("'"&amp;A170&amp;"'!"&amp;C170))))</f>
        <v>Management of UCITS - Retail Investors</v>
      </c>
      <c r="F170" s="155" cm="1">
        <f t="array" aca="1" ref="F170" ca="1">IF(C170="", "", INDEX(INDIRECT("'"&amp;A170&amp;"'!3:3"), COLUMN(INDIRECT("'"&amp;A170&amp;"'!"&amp;C170))))</f>
        <v>0</v>
      </c>
      <c r="G170" s="154" t="str" cm="1">
        <f t="array" aca="1" ref="G170" ca="1">IF(C170="", "", INDEX(INDIRECT("'"&amp;A170&amp;"'!8:8"), COLUMN(INDIRECT("'"&amp;A170&amp;"'!"&amp;C170))))</f>
        <v>Integer</v>
      </c>
      <c r="H170" s="154" t="str" cm="1">
        <f t="array" aca="1" ref="H170" ca="1">IF(C170="","",T(INDIRECT("'"&amp;A170&amp;"'!"&amp;ADDRESS(7, COLUMN(INDIRECT("'"&amp;A170&amp;"'!"&amp;C170))))))</f>
        <v>Stock</v>
      </c>
      <c r="I170" s="154" t="str" cm="1">
        <f t="array" aca="1" ref="I170" ca="1">IF(C170="","",T(INDIRECT("'"&amp;A170&amp;"'!"&amp;ADDRESS(9, COLUMN(INDIRECT("'"&amp;A170&amp;"'!"&amp;C170))))))</f>
        <v/>
      </c>
      <c r="J170" t="s">
        <v>1578</v>
      </c>
      <c r="K170" t="s">
        <v>1632</v>
      </c>
      <c r="L170" t="s">
        <v>1659</v>
      </c>
    </row>
    <row r="171" spans="1:12" ht="15" customHeight="1">
      <c r="A171" s="154" t="s">
        <v>289</v>
      </c>
      <c r="B171" s="154" t="s">
        <v>82</v>
      </c>
      <c r="C171" t="s">
        <v>1550</v>
      </c>
      <c r="D171" s="154" t="s">
        <v>74</v>
      </c>
      <c r="E171" s="155" t="str" cm="1">
        <f t="array" aca="1" ref="E171" ca="1">IF(C171="", INDIRECT("'"&amp;A171&amp;"'!B3"), INDEX(INDIRECT("'"&amp;A171&amp;"'!5:5"), COLUMN(INDIRECT("'"&amp;A171&amp;"'!"&amp;C171))))</f>
        <v>Management of UCITS - Professional Investors</v>
      </c>
      <c r="F171" s="155" cm="1">
        <f t="array" aca="1" ref="F171" ca="1">IF(C171="", "", INDEX(INDIRECT("'"&amp;A171&amp;"'!3:3"), COLUMN(INDIRECT("'"&amp;A171&amp;"'!"&amp;C171))))</f>
        <v>0</v>
      </c>
      <c r="G171" s="154" t="str" cm="1">
        <f t="array" aca="1" ref="G171" ca="1">IF(C171="", "", INDEX(INDIRECT("'"&amp;A171&amp;"'!8:8"), COLUMN(INDIRECT("'"&amp;A171&amp;"'!"&amp;C171))))</f>
        <v>Integer</v>
      </c>
      <c r="H171" s="154" t="str" cm="1">
        <f t="array" aca="1" ref="H171" ca="1">IF(C171="","",T(INDIRECT("'"&amp;A171&amp;"'!"&amp;ADDRESS(7, COLUMN(INDIRECT("'"&amp;A171&amp;"'!"&amp;C171))))))</f>
        <v>Stock</v>
      </c>
      <c r="I171" s="154" t="str" cm="1">
        <f t="array" aca="1" ref="I171" ca="1">IF(C171="","",T(INDIRECT("'"&amp;A171&amp;"'!"&amp;ADDRESS(9, COLUMN(INDIRECT("'"&amp;A171&amp;"'!"&amp;C171))))))</f>
        <v/>
      </c>
      <c r="J171" t="s">
        <v>1578</v>
      </c>
      <c r="K171" t="s">
        <v>1633</v>
      </c>
      <c r="L171" t="s">
        <v>1659</v>
      </c>
    </row>
    <row r="172" spans="1:12" ht="15" customHeight="1">
      <c r="A172" s="154" t="s">
        <v>289</v>
      </c>
      <c r="B172" s="154" t="s">
        <v>83</v>
      </c>
      <c r="C172" t="s">
        <v>1551</v>
      </c>
      <c r="D172" s="154" t="s">
        <v>74</v>
      </c>
      <c r="E172" s="155" t="str" cm="1">
        <f t="array" aca="1" ref="E172" ca="1">IF(C172="", INDIRECT("'"&amp;A172&amp;"'!B3"), INDEX(INDIRECT("'"&amp;A172&amp;"'!5:5"), COLUMN(INDIRECT("'"&amp;A172&amp;"'!"&amp;C172))))</f>
        <v>Management of UCITS - Total AUM</v>
      </c>
      <c r="F172" s="155" cm="1">
        <f t="array" aca="1" ref="F172" ca="1">IF(C172="", "", INDEX(INDIRECT("'"&amp;A172&amp;"'!3:3"), COLUMN(INDIRECT("'"&amp;A172&amp;"'!"&amp;C172))))</f>
        <v>0</v>
      </c>
      <c r="G172" s="154" t="str" cm="1">
        <f t="array" aca="1" ref="G172" ca="1">IF(C172="", "", INDEX(INDIRECT("'"&amp;A172&amp;"'!8:8"), COLUMN(INDIRECT("'"&amp;A172&amp;"'!"&amp;C172))))</f>
        <v>Monetary</v>
      </c>
      <c r="H172" s="154" t="str" cm="1">
        <f t="array" aca="1" ref="H172" ca="1">IF(C172="","",T(INDIRECT("'"&amp;A172&amp;"'!"&amp;ADDRESS(7, COLUMN(INDIRECT("'"&amp;A172&amp;"'!"&amp;C172))))))</f>
        <v>Stock</v>
      </c>
      <c r="I172" s="154" t="str" cm="1">
        <f t="array" aca="1" ref="I172" ca="1">IF(C172="","",T(INDIRECT("'"&amp;A172&amp;"'!"&amp;ADDRESS(9, COLUMN(INDIRECT("'"&amp;A172&amp;"'!"&amp;C172))))))</f>
        <v/>
      </c>
      <c r="J172" t="s">
        <v>1639</v>
      </c>
      <c r="K172" t="s">
        <v>1638</v>
      </c>
      <c r="L172" t="s">
        <v>1659</v>
      </c>
    </row>
    <row r="173" spans="1:12" ht="15" customHeight="1">
      <c r="A173" s="154" t="s">
        <v>289</v>
      </c>
      <c r="B173" s="154" t="s">
        <v>84</v>
      </c>
      <c r="C173" t="s">
        <v>1552</v>
      </c>
      <c r="D173" s="154" t="s">
        <v>75</v>
      </c>
      <c r="E173" s="155" t="str" cm="1">
        <f t="array" aca="1" ref="E173" ca="1">IF(C173="", INDIRECT("'"&amp;A173&amp;"'!B3"), INDEX(INDIRECT("'"&amp;A173&amp;"'!5:5"), COLUMN(INDIRECT("'"&amp;A173&amp;"'!"&amp;C173))))</f>
        <v>Management of AIFs - Retail Investors</v>
      </c>
      <c r="F173" s="155" cm="1">
        <f t="array" aca="1" ref="F173" ca="1">IF(C173="", "", INDEX(INDIRECT("'"&amp;A173&amp;"'!3:3"), COLUMN(INDIRECT("'"&amp;A173&amp;"'!"&amp;C173))))</f>
        <v>0</v>
      </c>
      <c r="G173" s="154" t="str" cm="1">
        <f t="array" aca="1" ref="G173" ca="1">IF(C173="", "", INDEX(INDIRECT("'"&amp;A173&amp;"'!8:8"), COLUMN(INDIRECT("'"&amp;A173&amp;"'!"&amp;C173))))</f>
        <v>Integer</v>
      </c>
      <c r="H173" s="154" t="str" cm="1">
        <f t="array" aca="1" ref="H173" ca="1">IF(C173="","",T(INDIRECT("'"&amp;A173&amp;"'!"&amp;ADDRESS(7, COLUMN(INDIRECT("'"&amp;A173&amp;"'!"&amp;C173))))))</f>
        <v>Stock</v>
      </c>
      <c r="I173" s="154" t="str" cm="1">
        <f t="array" aca="1" ref="I173" ca="1">IF(C173="","",T(INDIRECT("'"&amp;A173&amp;"'!"&amp;ADDRESS(9, COLUMN(INDIRECT("'"&amp;A173&amp;"'!"&amp;C173))))))</f>
        <v/>
      </c>
      <c r="J173" t="s">
        <v>1578</v>
      </c>
      <c r="K173" t="s">
        <v>1632</v>
      </c>
      <c r="L173" t="s">
        <v>1660</v>
      </c>
    </row>
    <row r="174" spans="1:12" ht="15" customHeight="1">
      <c r="A174" s="154" t="s">
        <v>289</v>
      </c>
      <c r="B174" s="154" t="s">
        <v>85</v>
      </c>
      <c r="C174" t="s">
        <v>1553</v>
      </c>
      <c r="D174" s="154" t="s">
        <v>75</v>
      </c>
      <c r="E174" s="155" t="str" cm="1">
        <f t="array" aca="1" ref="E174" ca="1">IF(C174="", INDIRECT("'"&amp;A174&amp;"'!B3"), INDEX(INDIRECT("'"&amp;A174&amp;"'!5:5"), COLUMN(INDIRECT("'"&amp;A174&amp;"'!"&amp;C174))))</f>
        <v>Management of AIFs - Professional Investors</v>
      </c>
      <c r="F174" s="155" cm="1">
        <f t="array" aca="1" ref="F174" ca="1">IF(C174="", "", INDEX(INDIRECT("'"&amp;A174&amp;"'!3:3"), COLUMN(INDIRECT("'"&amp;A174&amp;"'!"&amp;C174))))</f>
        <v>0</v>
      </c>
      <c r="G174" s="154" t="str" cm="1">
        <f t="array" aca="1" ref="G174" ca="1">IF(C174="", "", INDEX(INDIRECT("'"&amp;A174&amp;"'!8:8"), COLUMN(INDIRECT("'"&amp;A174&amp;"'!"&amp;C174))))</f>
        <v>Integer</v>
      </c>
      <c r="H174" s="154" t="str" cm="1">
        <f t="array" aca="1" ref="H174" ca="1">IF(C174="","",T(INDIRECT("'"&amp;A174&amp;"'!"&amp;ADDRESS(7, COLUMN(INDIRECT("'"&amp;A174&amp;"'!"&amp;C174))))))</f>
        <v>Stock</v>
      </c>
      <c r="I174" s="154" t="str" cm="1">
        <f t="array" aca="1" ref="I174" ca="1">IF(C174="","",T(INDIRECT("'"&amp;A174&amp;"'!"&amp;ADDRESS(9, COLUMN(INDIRECT("'"&amp;A174&amp;"'!"&amp;C174))))))</f>
        <v/>
      </c>
      <c r="J174" t="s">
        <v>1578</v>
      </c>
      <c r="K174" t="s">
        <v>1633</v>
      </c>
      <c r="L174" t="s">
        <v>1660</v>
      </c>
    </row>
    <row r="175" spans="1:12" ht="15" customHeight="1">
      <c r="A175" s="154" t="s">
        <v>289</v>
      </c>
      <c r="B175" s="154" t="s">
        <v>86</v>
      </c>
      <c r="C175" t="s">
        <v>1554</v>
      </c>
      <c r="D175" s="154" t="s">
        <v>75</v>
      </c>
      <c r="E175" s="155" t="str" cm="1">
        <f t="array" aca="1" ref="E175" ca="1">IF(C175="", INDIRECT("'"&amp;A175&amp;"'!B3"), INDEX(INDIRECT("'"&amp;A175&amp;"'!5:5"), COLUMN(INDIRECT("'"&amp;A175&amp;"'!"&amp;C175))))</f>
        <v>Open-ended Funds - Number</v>
      </c>
      <c r="F175" s="155" cm="1">
        <f t="array" aca="1" ref="F175" ca="1">IF(C175="", "", INDEX(INDIRECT("'"&amp;A175&amp;"'!3:3"), COLUMN(INDIRECT("'"&amp;A175&amp;"'!"&amp;C175))))</f>
        <v>0</v>
      </c>
      <c r="G175" s="154" t="str" cm="1">
        <f t="array" aca="1" ref="G175" ca="1">IF(C175="", "", INDEX(INDIRECT("'"&amp;A175&amp;"'!8:8"), COLUMN(INDIRECT("'"&amp;A175&amp;"'!"&amp;C175))))</f>
        <v>Integer</v>
      </c>
      <c r="H175" s="154" t="str" cm="1">
        <f t="array" aca="1" ref="H175" ca="1">IF(C175="","",T(INDIRECT("'"&amp;A175&amp;"'!"&amp;ADDRESS(7, COLUMN(INDIRECT("'"&amp;A175&amp;"'!"&amp;C175))))))</f>
        <v>Stock</v>
      </c>
      <c r="I175" s="154" t="str" cm="1">
        <f t="array" aca="1" ref="I175" ca="1">IF(C175="","",T(INDIRECT("'"&amp;A175&amp;"'!"&amp;ADDRESS(9, COLUMN(INDIRECT("'"&amp;A175&amp;"'!"&amp;C175))))))</f>
        <v/>
      </c>
      <c r="J175" t="s">
        <v>1661</v>
      </c>
      <c r="K175" t="s">
        <v>1660</v>
      </c>
      <c r="L175" t="s">
        <v>1662</v>
      </c>
    </row>
    <row r="176" spans="1:12" ht="15" customHeight="1">
      <c r="A176" s="154" t="s">
        <v>289</v>
      </c>
      <c r="B176" s="154" t="s">
        <v>87</v>
      </c>
      <c r="C176" t="s">
        <v>1555</v>
      </c>
      <c r="D176" s="154" t="s">
        <v>75</v>
      </c>
      <c r="E176" s="155" t="str" cm="1">
        <f t="array" aca="1" ref="E176" ca="1">IF(C176="", INDIRECT("'"&amp;A176&amp;"'!B3"), INDEX(INDIRECT("'"&amp;A176&amp;"'!5:5"), COLUMN(INDIRECT("'"&amp;A176&amp;"'!"&amp;C176))))</f>
        <v>Closed-ended Funds - Number</v>
      </c>
      <c r="F176" s="155" cm="1">
        <f t="array" aca="1" ref="F176" ca="1">IF(C176="", "", INDEX(INDIRECT("'"&amp;A176&amp;"'!3:3"), COLUMN(INDIRECT("'"&amp;A176&amp;"'!"&amp;C176))))</f>
        <v>0</v>
      </c>
      <c r="G176" s="154" t="str" cm="1">
        <f t="array" aca="1" ref="G176" ca="1">IF(C176="", "", INDEX(INDIRECT("'"&amp;A176&amp;"'!8:8"), COLUMN(INDIRECT("'"&amp;A176&amp;"'!"&amp;C176))))</f>
        <v>Integer</v>
      </c>
      <c r="H176" s="154" t="str" cm="1">
        <f t="array" aca="1" ref="H176" ca="1">IF(C176="","",T(INDIRECT("'"&amp;A176&amp;"'!"&amp;ADDRESS(7, COLUMN(INDIRECT("'"&amp;A176&amp;"'!"&amp;C176))))))</f>
        <v>Stock</v>
      </c>
      <c r="I176" s="154" t="str" cm="1">
        <f t="array" aca="1" ref="I176" ca="1">IF(C176="","",T(INDIRECT("'"&amp;A176&amp;"'!"&amp;ADDRESS(9, COLUMN(INDIRECT("'"&amp;A176&amp;"'!"&amp;C176))))))</f>
        <v/>
      </c>
      <c r="J176" t="s">
        <v>1661</v>
      </c>
      <c r="K176" t="s">
        <v>1660</v>
      </c>
      <c r="L176" t="s">
        <v>1663</v>
      </c>
    </row>
    <row r="177" spans="1:12" ht="15" customHeight="1">
      <c r="A177" s="154" t="s">
        <v>289</v>
      </c>
      <c r="B177" s="154" t="s">
        <v>88</v>
      </c>
      <c r="C177" t="s">
        <v>1556</v>
      </c>
      <c r="D177" s="154" t="s">
        <v>75</v>
      </c>
      <c r="E177" s="155" t="str" cm="1">
        <f t="array" aca="1" ref="E177" ca="1">IF(C177="", INDIRECT("'"&amp;A177&amp;"'!B3"), INDEX(INDIRECT("'"&amp;A177&amp;"'!5:5"), COLUMN(INDIRECT("'"&amp;A177&amp;"'!"&amp;C177))))</f>
        <v>Management of AIFs - Total AUM</v>
      </c>
      <c r="F177" s="155" cm="1">
        <f t="array" aca="1" ref="F177" ca="1">IF(C177="", "", INDEX(INDIRECT("'"&amp;A177&amp;"'!3:3"), COLUMN(INDIRECT("'"&amp;A177&amp;"'!"&amp;C177))))</f>
        <v>0</v>
      </c>
      <c r="G177" s="154" t="str" cm="1">
        <f t="array" aca="1" ref="G177" ca="1">IF(C177="", "", INDEX(INDIRECT("'"&amp;A177&amp;"'!8:8"), COLUMN(INDIRECT("'"&amp;A177&amp;"'!"&amp;C177))))</f>
        <v>Monetary</v>
      </c>
      <c r="H177" s="154" t="str" cm="1">
        <f t="array" aca="1" ref="H177" ca="1">IF(C177="","",T(INDIRECT("'"&amp;A177&amp;"'!"&amp;ADDRESS(7, COLUMN(INDIRECT("'"&amp;A177&amp;"'!"&amp;C177))))))</f>
        <v>Stock</v>
      </c>
      <c r="I177" s="154" t="str" cm="1">
        <f t="array" aca="1" ref="I177" ca="1">IF(C177="","",T(INDIRECT("'"&amp;A177&amp;"'!"&amp;ADDRESS(9, COLUMN(INDIRECT("'"&amp;A177&amp;"'!"&amp;C177))))))</f>
        <v/>
      </c>
      <c r="J177" t="s">
        <v>1639</v>
      </c>
      <c r="K177" t="s">
        <v>1638</v>
      </c>
      <c r="L177" t="s">
        <v>1660</v>
      </c>
    </row>
    <row r="178" spans="1:12" ht="15" customHeight="1">
      <c r="A178" s="154" t="s">
        <v>289</v>
      </c>
      <c r="B178" s="154" t="s">
        <v>89</v>
      </c>
      <c r="C178" t="s">
        <v>1557</v>
      </c>
      <c r="D178" s="154" t="s">
        <v>75</v>
      </c>
      <c r="E178" s="155" t="str" cm="1">
        <f t="array" aca="1" ref="E178" ca="1">IF(C178="", INDIRECT("'"&amp;A178&amp;"'!B3"), INDEX(INDIRECT("'"&amp;A178&amp;"'!5:5"), COLUMN(INDIRECT("'"&amp;A178&amp;"'!"&amp;C178))))</f>
        <v>Management of AIFs - Total AUM in unlisted assets</v>
      </c>
      <c r="F178" s="155" cm="1">
        <f t="array" aca="1" ref="F178" ca="1">IF(C178="", "", INDEX(INDIRECT("'"&amp;A178&amp;"'!3:3"), COLUMN(INDIRECT("'"&amp;A178&amp;"'!"&amp;C178))))</f>
        <v>0</v>
      </c>
      <c r="G178" s="154" t="str" cm="1">
        <f t="array" aca="1" ref="G178" ca="1">IF(C178="", "", INDEX(INDIRECT("'"&amp;A178&amp;"'!8:8"), COLUMN(INDIRECT("'"&amp;A178&amp;"'!"&amp;C178))))</f>
        <v>Monetary</v>
      </c>
      <c r="H178" s="154" t="str" cm="1">
        <f t="array" aca="1" ref="H178" ca="1">IF(C178="","",T(INDIRECT("'"&amp;A178&amp;"'!"&amp;ADDRESS(7, COLUMN(INDIRECT("'"&amp;A178&amp;"'!"&amp;C178))))))</f>
        <v>Stock</v>
      </c>
      <c r="I178" s="154" t="str" cm="1">
        <f t="array" aca="1" ref="I178" ca="1">IF(C178="","",T(INDIRECT("'"&amp;A178&amp;"'!"&amp;ADDRESS(9, COLUMN(INDIRECT("'"&amp;A178&amp;"'!"&amp;C178))))))</f>
        <v/>
      </c>
      <c r="J178" t="s">
        <v>1639</v>
      </c>
      <c r="K178" t="s">
        <v>1660</v>
      </c>
      <c r="L178" t="s">
        <v>1664</v>
      </c>
    </row>
    <row r="179" spans="1:12" ht="15" customHeight="1">
      <c r="A179" s="154" t="s">
        <v>300</v>
      </c>
      <c r="E179" s="155" cm="1">
        <f t="array" aca="1" ref="E179" ca="1">IF(C179="", INDIRECT("'"&amp;A179&amp;"'!B3"), INDEX(INDIRECT("'"&amp;A179&amp;"'!5:5"), COLUMN(INDIRECT("'"&amp;A179&amp;"'!"&amp;C179))))</f>
        <v>0</v>
      </c>
      <c r="F179" s="155" t="str" cm="1">
        <f t="array" aca="1" ref="F179" ca="1">IF(C179="", "", INDEX(INDIRECT("'"&amp;A179&amp;"'!3:3"), COLUMN(INDIRECT("'"&amp;A179&amp;"'!"&amp;C179))))</f>
        <v/>
      </c>
      <c r="G179" s="154" t="str" cm="1">
        <f t="array" aca="1" ref="G179" ca="1">IF(C179="", "", INDEX(INDIRECT("'"&amp;A179&amp;"'!8:8"), COLUMN(INDIRECT("'"&amp;A179&amp;"'!"&amp;C179))))</f>
        <v/>
      </c>
      <c r="H179" s="154" t="str" cm="1">
        <f t="array" aca="1" ref="H179" ca="1">IF(C179="","",T(INDIRECT("'"&amp;A179&amp;"'!"&amp;ADDRESS(7, COLUMN(INDIRECT("'"&amp;A179&amp;"'!"&amp;C179))))))</f>
        <v/>
      </c>
      <c r="I179" s="154" t="str" cm="1">
        <f t="array" aca="1" ref="I179" ca="1">IF(C179="","",T(INDIRECT("'"&amp;A179&amp;"'!"&amp;ADDRESS(9, COLUMN(INDIRECT("'"&amp;A179&amp;"'!"&amp;C179))))))</f>
        <v/>
      </c>
    </row>
    <row r="180" spans="1:12" ht="15" customHeight="1">
      <c r="A180" s="154" t="s">
        <v>300</v>
      </c>
      <c r="B180" s="154" t="s">
        <v>81</v>
      </c>
      <c r="C180" t="s">
        <v>1549</v>
      </c>
      <c r="E180" s="155" t="str" cm="1">
        <f t="array" aca="1" ref="E180" ca="1">IF(C180="", INDIRECT("'"&amp;A180&amp;"'!B3"), INDEX(INDIRECT("'"&amp;A180&amp;"'!5:5"), COLUMN(INDIRECT("'"&amp;A180&amp;"'!"&amp;C180))))</f>
        <v>Customers Using Safe Deposit Boxes</v>
      </c>
      <c r="F180" s="155" cm="1">
        <f t="array" aca="1" ref="F180" ca="1">IF(C180="", "", INDEX(INDIRECT("'"&amp;A180&amp;"'!3:3"), COLUMN(INDIRECT("'"&amp;A180&amp;"'!"&amp;C180))))</f>
        <v>0</v>
      </c>
      <c r="G180" s="154" t="str" cm="1">
        <f t="array" aca="1" ref="G180" ca="1">IF(C180="", "", INDEX(INDIRECT("'"&amp;A180&amp;"'!8:8"), COLUMN(INDIRECT("'"&amp;A180&amp;"'!"&amp;C180))))</f>
        <v>Integer</v>
      </c>
      <c r="H180" s="154" t="str" cm="1">
        <f t="array" aca="1" ref="H180" ca="1">IF(C180="","",T(INDIRECT("'"&amp;A180&amp;"'!"&amp;ADDRESS(7, COLUMN(INDIRECT("'"&amp;A180&amp;"'!"&amp;C180))))))</f>
        <v>Stock</v>
      </c>
      <c r="I180" s="154" t="str" cm="1">
        <f t="array" aca="1" ref="I180" ca="1">IF(C180="","",T(INDIRECT("'"&amp;A180&amp;"'!"&amp;ADDRESS(9, COLUMN(INDIRECT("'"&amp;A180&amp;"'!"&amp;C180))))))</f>
        <v/>
      </c>
      <c r="J180" t="s">
        <v>1578</v>
      </c>
      <c r="K180" t="s">
        <v>1665</v>
      </c>
    </row>
    <row r="181" spans="1:12" ht="15" customHeight="1">
      <c r="A181" s="154" t="s">
        <v>303</v>
      </c>
      <c r="E181" s="155" cm="1">
        <f t="array" aca="1" ref="E181" ca="1">IF(C181="", INDIRECT("'"&amp;A181&amp;"'!B3"), INDEX(INDIRECT("'"&amp;A181&amp;"'!5:5"), COLUMN(INDIRECT("'"&amp;A181&amp;"'!"&amp;C181))))</f>
        <v>0</v>
      </c>
      <c r="F181" s="155" t="str" cm="1">
        <f t="array" aca="1" ref="F181" ca="1">IF(C181="", "", INDEX(INDIRECT("'"&amp;A181&amp;"'!3:3"), COLUMN(INDIRECT("'"&amp;A181&amp;"'!"&amp;C181))))</f>
        <v/>
      </c>
      <c r="G181" s="154" t="str" cm="1">
        <f t="array" aca="1" ref="G181" ca="1">IF(C181="", "", INDEX(INDIRECT("'"&amp;A181&amp;"'!8:8"), COLUMN(INDIRECT("'"&amp;A181&amp;"'!"&amp;C181))))</f>
        <v/>
      </c>
      <c r="H181" s="154" t="str" cm="1">
        <f t="array" aca="1" ref="H181" ca="1">IF(C181="","",T(INDIRECT("'"&amp;A181&amp;"'!"&amp;ADDRESS(7, COLUMN(INDIRECT("'"&amp;A181&amp;"'!"&amp;C181))))))</f>
        <v/>
      </c>
      <c r="I181" s="154" t="str" cm="1">
        <f t="array" aca="1" ref="I181" ca="1">IF(C181="","",T(INDIRECT("'"&amp;A181&amp;"'!"&amp;ADDRESS(9, COLUMN(INDIRECT("'"&amp;A181&amp;"'!"&amp;C181))))))</f>
        <v/>
      </c>
    </row>
    <row r="182" spans="1:12" ht="15" customHeight="1">
      <c r="A182" s="154" t="s">
        <v>303</v>
      </c>
      <c r="B182" s="154" t="s">
        <v>81</v>
      </c>
      <c r="C182" t="s">
        <v>1549</v>
      </c>
      <c r="D182" s="154" t="s">
        <v>78</v>
      </c>
      <c r="E182" s="155" t="str" cm="1">
        <f t="array" aca="1" ref="E182" ca="1">IF(C182="", INDIRECT("'"&amp;A182&amp;"'!B3"), INDEX(INDIRECT("'"&amp;A182&amp;"'!5:5"), COLUMN(INDIRECT("'"&amp;A182&amp;"'!"&amp;C182))))</f>
        <v>Funding Projects - Value</v>
      </c>
      <c r="F182" s="155" cm="1">
        <f t="array" aca="1" ref="F182" ca="1">IF(C182="", "", INDEX(INDIRECT("'"&amp;A182&amp;"'!3:3"), COLUMN(INDIRECT("'"&amp;A182&amp;"'!"&amp;C182))))</f>
        <v>0</v>
      </c>
      <c r="G182" s="154" t="str" cm="1">
        <f t="array" aca="1" ref="G182" ca="1">IF(C182="", "", INDEX(INDIRECT("'"&amp;A182&amp;"'!8:8"), COLUMN(INDIRECT("'"&amp;A182&amp;"'!"&amp;C182))))</f>
        <v>Monetary</v>
      </c>
      <c r="H182" s="154" t="str" cm="1">
        <f t="array" aca="1" ref="H182" ca="1">IF(C182="","",T(INDIRECT("'"&amp;A182&amp;"'!"&amp;ADDRESS(7, COLUMN(INDIRECT("'"&amp;A182&amp;"'!"&amp;C182))))))</f>
        <v>Flow</v>
      </c>
      <c r="I182" s="154" t="str" cm="1">
        <f t="array" aca="1" ref="I182" ca="1">IF(C182="","",T(INDIRECT("'"&amp;A182&amp;"'!"&amp;ADDRESS(9, COLUMN(INDIRECT("'"&amp;A182&amp;"'!"&amp;C182))))))</f>
        <v/>
      </c>
      <c r="J182" t="s">
        <v>1594</v>
      </c>
      <c r="K182" t="s">
        <v>1666</v>
      </c>
    </row>
    <row r="183" spans="1:12" ht="15" customHeight="1">
      <c r="A183" s="154" t="s">
        <v>303</v>
      </c>
      <c r="B183" s="154" t="s">
        <v>82</v>
      </c>
      <c r="C183" t="s">
        <v>1550</v>
      </c>
      <c r="D183" s="154" t="s">
        <v>78</v>
      </c>
      <c r="E183" s="155" t="str" cm="1">
        <f t="array" aca="1" ref="E183" ca="1">IF(C183="", INDIRECT("'"&amp;A183&amp;"'!B3"), INDEX(INDIRECT("'"&amp;A183&amp;"'!5:5"), COLUMN(INDIRECT("'"&amp;A183&amp;"'!"&amp;C183))))</f>
        <v>Projects Funded - Number</v>
      </c>
      <c r="F183" s="155" cm="1">
        <f t="array" aca="1" ref="F183" ca="1">IF(C183="", "", INDEX(INDIRECT("'"&amp;A183&amp;"'!3:3"), COLUMN(INDIRECT("'"&amp;A183&amp;"'!"&amp;C183))))</f>
        <v>0</v>
      </c>
      <c r="G183" s="154" t="str" cm="1">
        <f t="array" aca="1" ref="G183" ca="1">IF(C183="", "", INDEX(INDIRECT("'"&amp;A183&amp;"'!8:8"), COLUMN(INDIRECT("'"&amp;A183&amp;"'!"&amp;C183))))</f>
        <v>Integer</v>
      </c>
      <c r="H183" s="154" t="str" cm="1">
        <f t="array" aca="1" ref="H183" ca="1">IF(C183="","",T(INDIRECT("'"&amp;A183&amp;"'!"&amp;ADDRESS(7, COLUMN(INDIRECT("'"&amp;A183&amp;"'!"&amp;C183))))))</f>
        <v>Flow</v>
      </c>
      <c r="I183" s="154" t="str" cm="1">
        <f t="array" aca="1" ref="I183" ca="1">IF(C183="","",T(INDIRECT("'"&amp;A183&amp;"'!"&amp;ADDRESS(9, COLUMN(INDIRECT("'"&amp;A183&amp;"'!"&amp;C183))))))</f>
        <v/>
      </c>
      <c r="J183" t="s">
        <v>1667</v>
      </c>
      <c r="K183" t="s">
        <v>1666</v>
      </c>
    </row>
    <row r="184" spans="1:12" ht="15" customHeight="1">
      <c r="A184" s="154" t="s">
        <v>303</v>
      </c>
      <c r="B184" s="154" t="s">
        <v>83</v>
      </c>
      <c r="C184" t="s">
        <v>1551</v>
      </c>
      <c r="D184" s="154" t="s">
        <v>78</v>
      </c>
      <c r="E184" s="155" t="str" cm="1">
        <f t="array" aca="1" ref="E184" ca="1">IF(C184="", INDIRECT("'"&amp;A184&amp;"'!B3"), INDEX(INDIRECT("'"&amp;A184&amp;"'!5:5"), COLUMN(INDIRECT("'"&amp;A184&amp;"'!"&amp;C184))))</f>
        <v>Donors from High-risk Countries</v>
      </c>
      <c r="F184" s="155" cm="1">
        <f t="array" aca="1" ref="F184" ca="1">IF(C184="", "", INDEX(INDIRECT("'"&amp;A184&amp;"'!3:3"), COLUMN(INDIRECT("'"&amp;A184&amp;"'!"&amp;C184))))</f>
        <v>0</v>
      </c>
      <c r="G184" s="154" t="str" cm="1">
        <f t="array" aca="1" ref="G184" ca="1">IF(C184="", "", INDEX(INDIRECT("'"&amp;A184&amp;"'!8:8"), COLUMN(INDIRECT("'"&amp;A184&amp;"'!"&amp;C184))))</f>
        <v>Integer</v>
      </c>
      <c r="H184" s="154" t="str" cm="1">
        <f t="array" aca="1" ref="H184" ca="1">IF(C184="","",T(INDIRECT("'"&amp;A184&amp;"'!"&amp;ADDRESS(7, COLUMN(INDIRECT("'"&amp;A184&amp;"'!"&amp;C184))))))</f>
        <v>Flow</v>
      </c>
      <c r="I184" s="154" t="str" cm="1">
        <f t="array" aca="1" ref="I184" ca="1">IF(C184="","",T(INDIRECT("'"&amp;A184&amp;"'!"&amp;ADDRESS(9, COLUMN(INDIRECT("'"&amp;A184&amp;"'!"&amp;C184))))))</f>
        <v/>
      </c>
      <c r="J184" t="s">
        <v>1668</v>
      </c>
      <c r="K184" t="s">
        <v>1666</v>
      </c>
      <c r="L184" t="s">
        <v>1669</v>
      </c>
    </row>
    <row r="185" spans="1:12" ht="15" customHeight="1">
      <c r="A185" s="154" t="s">
        <v>303</v>
      </c>
      <c r="B185" s="154" t="s">
        <v>84</v>
      </c>
      <c r="C185" t="s">
        <v>1552</v>
      </c>
      <c r="D185" s="154" t="s">
        <v>78</v>
      </c>
      <c r="E185" s="155" t="str" cm="1">
        <f t="array" aca="1" ref="E185" ca="1">IF(C185="", INDIRECT("'"&amp;A185&amp;"'!B3"), INDEX(INDIRECT("'"&amp;A185&amp;"'!5:5"), COLUMN(INDIRECT("'"&amp;A185&amp;"'!"&amp;C185))))</f>
        <v>Projects with High-risk Country Owners</v>
      </c>
      <c r="F185" s="155" cm="1">
        <f t="array" aca="1" ref="F185" ca="1">IF(C185="", "", INDEX(INDIRECT("'"&amp;A185&amp;"'!3:3"), COLUMN(INDIRECT("'"&amp;A185&amp;"'!"&amp;C185))))</f>
        <v>0</v>
      </c>
      <c r="G185" s="154" t="str" cm="1">
        <f t="array" aca="1" ref="G185" ca="1">IF(C185="", "", INDEX(INDIRECT("'"&amp;A185&amp;"'!8:8"), COLUMN(INDIRECT("'"&amp;A185&amp;"'!"&amp;C185))))</f>
        <v>Integer</v>
      </c>
      <c r="H185" s="154" t="str" cm="1">
        <f t="array" aca="1" ref="H185" ca="1">IF(C185="","",T(INDIRECT("'"&amp;A185&amp;"'!"&amp;ADDRESS(7, COLUMN(INDIRECT("'"&amp;A185&amp;"'!"&amp;C185))))))</f>
        <v>Flow</v>
      </c>
      <c r="I185" s="154" t="str" cm="1">
        <f t="array" aca="1" ref="I185" ca="1">IF(C185="","",T(INDIRECT("'"&amp;A185&amp;"'!"&amp;ADDRESS(9, COLUMN(INDIRECT("'"&amp;A185&amp;"'!"&amp;C185))))))</f>
        <v/>
      </c>
      <c r="J185" t="s">
        <v>1667</v>
      </c>
      <c r="K185" t="s">
        <v>1666</v>
      </c>
      <c r="L185" t="s">
        <v>1670</v>
      </c>
    </row>
    <row r="186" spans="1:12" ht="15" customHeight="1">
      <c r="A186" s="154" t="s">
        <v>309</v>
      </c>
      <c r="E186" s="155" cm="1">
        <f t="array" aca="1" ref="E186" ca="1">IF(C186="", INDIRECT("'"&amp;A186&amp;"'!B3"), INDEX(INDIRECT("'"&amp;A186&amp;"'!5:5"), COLUMN(INDIRECT("'"&amp;A186&amp;"'!"&amp;C186))))</f>
        <v>0</v>
      </c>
      <c r="F186" s="155" t="str" cm="1">
        <f t="array" aca="1" ref="F186" ca="1">IF(C186="", "", INDEX(INDIRECT("'"&amp;A186&amp;"'!3:3"), COLUMN(INDIRECT("'"&amp;A186&amp;"'!"&amp;C186))))</f>
        <v/>
      </c>
      <c r="G186" s="154" t="str" cm="1">
        <f t="array" aca="1" ref="G186" ca="1">IF(C186="", "", INDEX(INDIRECT("'"&amp;A186&amp;"'!8:8"), COLUMN(INDIRECT("'"&amp;A186&amp;"'!"&amp;C186))))</f>
        <v/>
      </c>
      <c r="H186" s="154" t="str" cm="1">
        <f t="array" aca="1" ref="H186" ca="1">IF(C186="","",T(INDIRECT("'"&amp;A186&amp;"'!"&amp;ADDRESS(7, COLUMN(INDIRECT("'"&amp;A186&amp;"'!"&amp;C186))))))</f>
        <v/>
      </c>
      <c r="I186" s="154" t="str" cm="1">
        <f t="array" aca="1" ref="I186" ca="1">IF(C186="","",T(INDIRECT("'"&amp;A186&amp;"'!"&amp;ADDRESS(9, COLUMN(INDIRECT("'"&amp;A186&amp;"'!"&amp;C186))))))</f>
        <v/>
      </c>
    </row>
    <row r="187" spans="1:12" ht="15" customHeight="1">
      <c r="A187" s="154" t="s">
        <v>309</v>
      </c>
      <c r="B187" s="154" t="s">
        <v>81</v>
      </c>
      <c r="C187" t="s">
        <v>1549</v>
      </c>
      <c r="D187" s="154" t="s">
        <v>79</v>
      </c>
      <c r="E187" s="155" t="str" cm="1">
        <f t="array" aca="1" ref="E187" ca="1">IF(C187="", INDIRECT("'"&amp;A187&amp;"'!B3"), INDEX(INDIRECT("'"&amp;A187&amp;"'!5:5"), COLUMN(INDIRECT("'"&amp;A187&amp;"'!"&amp;C187))))</f>
        <v>Cash Transactions (Withdrawals) - Number</v>
      </c>
      <c r="F187" s="155" cm="1">
        <f t="array" aca="1" ref="F187" ca="1">IF(C187="", "", INDEX(INDIRECT("'"&amp;A187&amp;"'!3:3"), COLUMN(INDIRECT("'"&amp;A187&amp;"'!"&amp;C187))))</f>
        <v>0</v>
      </c>
      <c r="G187" s="154" t="str" cm="1">
        <f t="array" aca="1" ref="G187" ca="1">IF(C187="", "", INDEX(INDIRECT("'"&amp;A187&amp;"'!8:8"), COLUMN(INDIRECT("'"&amp;A187&amp;"'!"&amp;C187))))</f>
        <v>Integer</v>
      </c>
      <c r="H187" s="154" t="str" cm="1">
        <f t="array" aca="1" ref="H187" ca="1">IF(C187="","",T(INDIRECT("'"&amp;A187&amp;"'!"&amp;ADDRESS(7, COLUMN(INDIRECT("'"&amp;A187&amp;"'!"&amp;C187))))))</f>
        <v>Flow</v>
      </c>
      <c r="I187" s="154" t="str" cm="1">
        <f t="array" aca="1" ref="I187" ca="1">IF(C187="","",T(INDIRECT("'"&amp;A187&amp;"'!"&amp;ADDRESS(9, COLUMN(INDIRECT("'"&amp;A187&amp;"'!"&amp;C187))))))</f>
        <v/>
      </c>
      <c r="J187" t="s">
        <v>1596</v>
      </c>
      <c r="K187" t="s">
        <v>1671</v>
      </c>
    </row>
    <row r="188" spans="1:12" ht="15" customHeight="1">
      <c r="A188" s="154" t="s">
        <v>309</v>
      </c>
      <c r="B188" s="154" t="s">
        <v>82</v>
      </c>
      <c r="C188" t="s">
        <v>1550</v>
      </c>
      <c r="D188" s="154" t="s">
        <v>79</v>
      </c>
      <c r="E188" s="155" t="str" cm="1">
        <f t="array" aca="1" ref="E188" ca="1">IF(C188="", INDIRECT("'"&amp;A188&amp;"'!B3"), INDEX(INDIRECT("'"&amp;A188&amp;"'!5:5"), COLUMN(INDIRECT("'"&amp;A188&amp;"'!"&amp;C188))))</f>
        <v>Cash Transactions (Deposits) - Volume</v>
      </c>
      <c r="F188" s="155" cm="1">
        <f t="array" aca="1" ref="F188" ca="1">IF(C188="", "", INDEX(INDIRECT("'"&amp;A188&amp;"'!3:3"), COLUMN(INDIRECT("'"&amp;A188&amp;"'!"&amp;C188))))</f>
        <v>0</v>
      </c>
      <c r="G188" s="154" t="str" cm="1">
        <f t="array" aca="1" ref="G188" ca="1">IF(C188="", "", INDEX(INDIRECT("'"&amp;A188&amp;"'!8:8"), COLUMN(INDIRECT("'"&amp;A188&amp;"'!"&amp;C188))))</f>
        <v>Integer</v>
      </c>
      <c r="H188" s="154" t="str" cm="1">
        <f t="array" aca="1" ref="H188" ca="1">IF(C188="","",T(INDIRECT("'"&amp;A188&amp;"'!"&amp;ADDRESS(7, COLUMN(INDIRECT("'"&amp;A188&amp;"'!"&amp;C188))))))</f>
        <v>Flow</v>
      </c>
      <c r="I188" s="154" t="str" cm="1">
        <f t="array" aca="1" ref="I188" ca="1">IF(C188="","",T(INDIRECT("'"&amp;A188&amp;"'!"&amp;ADDRESS(9, COLUMN(INDIRECT("'"&amp;A188&amp;"'!"&amp;C188))))))</f>
        <v/>
      </c>
      <c r="J188" t="s">
        <v>1596</v>
      </c>
      <c r="K188" t="s">
        <v>1672</v>
      </c>
    </row>
    <row r="189" spans="1:12" ht="15" customHeight="1">
      <c r="A189" s="154" t="s">
        <v>309</v>
      </c>
      <c r="B189" s="154" t="s">
        <v>83</v>
      </c>
      <c r="C189" t="s">
        <v>1551</v>
      </c>
      <c r="D189" s="154" t="s">
        <v>79</v>
      </c>
      <c r="E189" s="155" t="str" cm="1">
        <f t="array" aca="1" ref="E189" ca="1">IF(C189="", INDIRECT("'"&amp;A189&amp;"'!B3"), INDEX(INDIRECT("'"&amp;A189&amp;"'!5:5"), COLUMN(INDIRECT("'"&amp;A189&amp;"'!"&amp;C189))))</f>
        <v>Cash Transactions (Withdrawals) - Value</v>
      </c>
      <c r="F189" s="155" cm="1">
        <f t="array" aca="1" ref="F189" ca="1">IF(C189="", "", INDEX(INDIRECT("'"&amp;A189&amp;"'!3:3"), COLUMN(INDIRECT("'"&amp;A189&amp;"'!"&amp;C189))))</f>
        <v>0</v>
      </c>
      <c r="G189" s="154" t="str" cm="1">
        <f t="array" aca="1" ref="G189" ca="1">IF(C189="", "", INDEX(INDIRECT("'"&amp;A189&amp;"'!8:8"), COLUMN(INDIRECT("'"&amp;A189&amp;"'!"&amp;C189))))</f>
        <v>Monetary</v>
      </c>
      <c r="H189" s="154" t="str" cm="1">
        <f t="array" aca="1" ref="H189" ca="1">IF(C189="","",T(INDIRECT("'"&amp;A189&amp;"'!"&amp;ADDRESS(7, COLUMN(INDIRECT("'"&amp;A189&amp;"'!"&amp;C189))))))</f>
        <v>Flow</v>
      </c>
      <c r="I189" s="154" t="str" cm="1">
        <f t="array" aca="1" ref="I189" ca="1">IF(C189="","",T(INDIRECT("'"&amp;A189&amp;"'!"&amp;ADDRESS(9, COLUMN(INDIRECT("'"&amp;A189&amp;"'!"&amp;C189))))))</f>
        <v/>
      </c>
      <c r="J189" t="s">
        <v>1594</v>
      </c>
      <c r="K189" t="s">
        <v>1671</v>
      </c>
    </row>
    <row r="190" spans="1:12" ht="15" customHeight="1">
      <c r="A190" s="154" t="s">
        <v>309</v>
      </c>
      <c r="B190" s="154" t="s">
        <v>84</v>
      </c>
      <c r="C190" t="s">
        <v>1552</v>
      </c>
      <c r="D190" s="154" t="s">
        <v>79</v>
      </c>
      <c r="E190" s="155" t="str" cm="1">
        <f t="array" aca="1" ref="E190" ca="1">IF(C190="", INDIRECT("'"&amp;A190&amp;"'!B3"), INDEX(INDIRECT("'"&amp;A190&amp;"'!5:5"), COLUMN(INDIRECT("'"&amp;A190&amp;"'!"&amp;C190))))</f>
        <v>Cash Transactions (Deposits) - Value</v>
      </c>
      <c r="F190" s="155" cm="1">
        <f t="array" aca="1" ref="F190" ca="1">IF(C190="", "", INDEX(INDIRECT("'"&amp;A190&amp;"'!3:3"), COLUMN(INDIRECT("'"&amp;A190&amp;"'!"&amp;C190))))</f>
        <v>0</v>
      </c>
      <c r="G190" s="154" t="str" cm="1">
        <f t="array" aca="1" ref="G190" ca="1">IF(C190="", "", INDEX(INDIRECT("'"&amp;A190&amp;"'!8:8"), COLUMN(INDIRECT("'"&amp;A190&amp;"'!"&amp;C190))))</f>
        <v>Monetary</v>
      </c>
      <c r="H190" s="154" t="str" cm="1">
        <f t="array" aca="1" ref="H190" ca="1">IF(C190="","",T(INDIRECT("'"&amp;A190&amp;"'!"&amp;ADDRESS(7, COLUMN(INDIRECT("'"&amp;A190&amp;"'!"&amp;C190))))))</f>
        <v>Flow</v>
      </c>
      <c r="I190" s="154" t="str" cm="1">
        <f t="array" aca="1" ref="I190" ca="1">IF(C190="","",T(INDIRECT("'"&amp;A190&amp;"'!"&amp;ADDRESS(9, COLUMN(INDIRECT("'"&amp;A190&amp;"'!"&amp;C190))))))</f>
        <v/>
      </c>
      <c r="J190" t="s">
        <v>1594</v>
      </c>
      <c r="K190" t="s">
        <v>1672</v>
      </c>
    </row>
    <row r="191" spans="1:12" ht="15" customHeight="1">
      <c r="A191" s="154" t="s">
        <v>309</v>
      </c>
      <c r="B191" s="154" t="s">
        <v>85</v>
      </c>
      <c r="C191" t="s">
        <v>1553</v>
      </c>
      <c r="D191" s="154" t="s">
        <v>79</v>
      </c>
      <c r="E191" s="155" t="str" cm="1">
        <f t="array" aca="1" ref="E191" ca="1">IF(C191="", INDIRECT("'"&amp;A191&amp;"'!B3"), INDEX(INDIRECT("'"&amp;A191&amp;"'!5:5"), COLUMN(INDIRECT("'"&amp;A191&amp;"'!"&amp;C191))))</f>
        <v>Customers with Cash Transactions &gt; EUR 20 000</v>
      </c>
      <c r="F191" s="155" cm="1">
        <f t="array" aca="1" ref="F191" ca="1">IF(C191="", "", INDEX(INDIRECT("'"&amp;A191&amp;"'!3:3"), COLUMN(INDIRECT("'"&amp;A191&amp;"'!"&amp;C191))))</f>
        <v>0</v>
      </c>
      <c r="G191" s="154" t="str" cm="1">
        <f t="array" aca="1" ref="G191" ca="1">IF(C191="", "", INDEX(INDIRECT("'"&amp;A191&amp;"'!8:8"), COLUMN(INDIRECT("'"&amp;A191&amp;"'!"&amp;C191))))</f>
        <v>Integer</v>
      </c>
      <c r="H191" s="154" t="str" cm="1">
        <f t="array" aca="1" ref="H191" ca="1">IF(C191="","",T(INDIRECT("'"&amp;A191&amp;"'!"&amp;ADDRESS(7, COLUMN(INDIRECT("'"&amp;A191&amp;"'!"&amp;C191))))))</f>
        <v>Flow</v>
      </c>
      <c r="I191" s="154" t="str" cm="1">
        <f t="array" aca="1" ref="I191" ca="1">IF(C191="","",T(INDIRECT("'"&amp;A191&amp;"'!"&amp;ADDRESS(9, COLUMN(INDIRECT("'"&amp;A191&amp;"'!"&amp;C191))))))</f>
        <v/>
      </c>
      <c r="J191" t="s">
        <v>1578</v>
      </c>
      <c r="K191" t="s">
        <v>1579</v>
      </c>
      <c r="L191" t="s">
        <v>1673</v>
      </c>
    </row>
    <row r="192" spans="1:12" ht="15" customHeight="1">
      <c r="A192" s="154" t="s">
        <v>316</v>
      </c>
      <c r="E192" s="155" cm="1">
        <f t="array" aca="1" ref="E192" ca="1">IF(C192="", INDIRECT("'"&amp;A192&amp;"'!B3"), INDEX(INDIRECT("'"&amp;A192&amp;"'!5:5"), COLUMN(INDIRECT("'"&amp;A192&amp;"'!"&amp;C192))))</f>
        <v>0</v>
      </c>
      <c r="F192" s="155" t="str" cm="1">
        <f t="array" aca="1" ref="F192" ca="1">IF(C192="", "", INDEX(INDIRECT("'"&amp;A192&amp;"'!3:3"), COLUMN(INDIRECT("'"&amp;A192&amp;"'!"&amp;C192))))</f>
        <v/>
      </c>
      <c r="G192" s="154" t="str" cm="1">
        <f t="array" aca="1" ref="G192" ca="1">IF(C192="", "", INDEX(INDIRECT("'"&amp;A192&amp;"'!8:8"), COLUMN(INDIRECT("'"&amp;A192&amp;"'!"&amp;C192))))</f>
        <v/>
      </c>
      <c r="H192" s="154" t="str" cm="1">
        <f t="array" aca="1" ref="H192" ca="1">IF(C192="","",T(INDIRECT("'"&amp;A192&amp;"'!"&amp;ADDRESS(7, COLUMN(INDIRECT("'"&amp;A192&amp;"'!"&amp;C192))))))</f>
        <v/>
      </c>
      <c r="I192" s="154" t="str" cm="1">
        <f t="array" aca="1" ref="I192" ca="1">IF(C192="","",T(INDIRECT("'"&amp;A192&amp;"'!"&amp;ADDRESS(9, COLUMN(INDIRECT("'"&amp;A192&amp;"'!"&amp;C192))))))</f>
        <v/>
      </c>
    </row>
    <row r="193" spans="1:12" ht="15" customHeight="1">
      <c r="A193" s="154" t="s">
        <v>316</v>
      </c>
      <c r="B193" s="154" t="s">
        <v>81</v>
      </c>
      <c r="C193" t="s">
        <v>1549</v>
      </c>
      <c r="D193" s="154" t="s">
        <v>38</v>
      </c>
      <c r="E193" s="155" t="str" cm="1">
        <f t="array" aca="1" ref="E193" ca="1">IF(C193="", INDIRECT("'"&amp;A193&amp;"'!B3"), INDEX(INDIRECT("'"&amp;A193&amp;"'!5:5"), COLUMN(INDIRECT("'"&amp;A193&amp;"'!"&amp;C193))))</f>
        <v>Country</v>
      </c>
      <c r="F193" s="155" cm="1">
        <f t="array" aca="1" ref="F193" ca="1">IF(C193="", "", INDEX(INDIRECT("'"&amp;A193&amp;"'!3:3"), COLUMN(INDIRECT("'"&amp;A193&amp;"'!"&amp;C193))))</f>
        <v>0</v>
      </c>
      <c r="G193" s="154" t="str" cm="1">
        <f t="array" aca="1" ref="G193" ca="1">IF(C193="", "", INDEX(INDIRECT("'"&amp;A193&amp;"'!8:8"), COLUMN(INDIRECT("'"&amp;A193&amp;"'!"&amp;C193))))</f>
        <v>LIST_AMLA_00005</v>
      </c>
      <c r="H193" s="154" t="str" cm="1">
        <f t="array" aca="1" ref="H193" ca="1">IF(C193="","",T(INDIRECT("'"&amp;A193&amp;"'!"&amp;ADDRESS(7, COLUMN(INDIRECT("'"&amp;A193&amp;"'!"&amp;C193))))))</f>
        <v/>
      </c>
      <c r="I193" s="154" t="str" cm="1">
        <f t="array" aca="1" ref="I193" ca="1">IF(C193="","",T(INDIRECT("'"&amp;A193&amp;"'!"&amp;ADDRESS(9, COLUMN(INDIRECT("'"&amp;A193&amp;"'!"&amp;C193))))))</f>
        <v/>
      </c>
      <c r="J193" t="s">
        <v>1578</v>
      </c>
      <c r="K193" t="s">
        <v>1674</v>
      </c>
    </row>
    <row r="194" spans="1:12" ht="15" customHeight="1">
      <c r="A194" s="154" t="s">
        <v>316</v>
      </c>
      <c r="B194" s="154" t="s">
        <v>82</v>
      </c>
      <c r="C194" t="s">
        <v>1550</v>
      </c>
      <c r="D194" s="154" t="s">
        <v>38</v>
      </c>
      <c r="E194" s="155" t="str" cm="1">
        <f t="array" aca="1" ref="E194" ca="1">IF(C194="", INDIRECT("'"&amp;A194&amp;"'!B3"), INDEX(INDIRECT("'"&amp;A194&amp;"'!5:5"), COLUMN(INDIRECT("'"&amp;A194&amp;"'!"&amp;C194))))</f>
        <v>Natural Persons</v>
      </c>
      <c r="F194" s="155" cm="1">
        <f t="array" aca="1" ref="F194" ca="1">IF(C194="", "", INDEX(INDIRECT("'"&amp;A194&amp;"'!3:3"), COLUMN(INDIRECT("'"&amp;A194&amp;"'!"&amp;C194))))</f>
        <v>0</v>
      </c>
      <c r="G194" s="154" t="str" cm="1">
        <f t="array" aca="1" ref="G194" ca="1">IF(C194="", "", INDEX(INDIRECT("'"&amp;A194&amp;"'!8:8"), COLUMN(INDIRECT("'"&amp;A194&amp;"'!"&amp;C194))))</f>
        <v>Integer</v>
      </c>
      <c r="H194" s="154" t="str" cm="1">
        <f t="array" aca="1" ref="H194" ca="1">IF(C194="","",T(INDIRECT("'"&amp;A194&amp;"'!"&amp;ADDRESS(7, COLUMN(INDIRECT("'"&amp;A194&amp;"'!"&amp;C194))))))</f>
        <v>Stock</v>
      </c>
      <c r="I194" s="154" t="str" cm="1">
        <f t="array" aca="1" ref="I194" ca="1">IF(C194="","",T(INDIRECT("'"&amp;A194&amp;"'!"&amp;ADDRESS(9, COLUMN(INDIRECT("'"&amp;A194&amp;"'!"&amp;C194))))))</f>
        <v/>
      </c>
      <c r="J194" t="s">
        <v>1578</v>
      </c>
      <c r="K194" t="s">
        <v>1579</v>
      </c>
    </row>
    <row r="195" spans="1:12" ht="15" customHeight="1">
      <c r="A195" s="154" t="s">
        <v>316</v>
      </c>
      <c r="B195" s="154" t="s">
        <v>83</v>
      </c>
      <c r="C195" t="s">
        <v>1551</v>
      </c>
      <c r="D195" s="154" t="s">
        <v>38</v>
      </c>
      <c r="E195" s="155" t="str" cm="1">
        <f t="array" aca="1" ref="E195" ca="1">IF(C195="", INDIRECT("'"&amp;A195&amp;"'!B3"), INDEX(INDIRECT("'"&amp;A195&amp;"'!5:5"), COLUMN(INDIRECT("'"&amp;A195&amp;"'!"&amp;C195))))</f>
        <v>Legal Entities</v>
      </c>
      <c r="F195" s="155" cm="1">
        <f t="array" aca="1" ref="F195" ca="1">IF(C195="", "", INDEX(INDIRECT("'"&amp;A195&amp;"'!3:3"), COLUMN(INDIRECT("'"&amp;A195&amp;"'!"&amp;C195))))</f>
        <v>0</v>
      </c>
      <c r="G195" s="154" t="str" cm="1">
        <f t="array" aca="1" ref="G195" ca="1">IF(C195="", "", INDEX(INDIRECT("'"&amp;A195&amp;"'!8:8"), COLUMN(INDIRECT("'"&amp;A195&amp;"'!"&amp;C195))))</f>
        <v>Integer</v>
      </c>
      <c r="H195" s="154" t="str" cm="1">
        <f t="array" aca="1" ref="H195" ca="1">IF(C195="","",T(INDIRECT("'"&amp;A195&amp;"'!"&amp;ADDRESS(7, COLUMN(INDIRECT("'"&amp;A195&amp;"'!"&amp;C195))))))</f>
        <v>Stock</v>
      </c>
      <c r="I195" s="154" t="str" cm="1">
        <f t="array" aca="1" ref="I195" ca="1">IF(C195="","",T(INDIRECT("'"&amp;A195&amp;"'!"&amp;ADDRESS(9, COLUMN(INDIRECT("'"&amp;A195&amp;"'!"&amp;C195))))))</f>
        <v/>
      </c>
      <c r="J195" t="s">
        <v>1578</v>
      </c>
      <c r="K195" t="s">
        <v>1580</v>
      </c>
    </row>
    <row r="196" spans="1:12" ht="15" customHeight="1">
      <c r="A196" s="154" t="s">
        <v>316</v>
      </c>
      <c r="B196" s="154" t="s">
        <v>84</v>
      </c>
      <c r="C196" t="s">
        <v>1552</v>
      </c>
      <c r="D196" s="154" t="s">
        <v>38</v>
      </c>
      <c r="E196" s="155" t="str" cm="1">
        <f t="array" aca="1" ref="E196" ca="1">IF(C196="", INDIRECT("'"&amp;A196&amp;"'!B3"), INDEX(INDIRECT("'"&amp;A196&amp;"'!5:5"), COLUMN(INDIRECT("'"&amp;A196&amp;"'!"&amp;C196))))</f>
        <v>Natural Persons – PEPs, Family Members or Close Associates</v>
      </c>
      <c r="F196" s="155" cm="1">
        <f t="array" aca="1" ref="F196" ca="1">IF(C196="", "", INDEX(INDIRECT("'"&amp;A196&amp;"'!3:3"), COLUMN(INDIRECT("'"&amp;A196&amp;"'!"&amp;C196))))</f>
        <v>0</v>
      </c>
      <c r="G196" s="154" t="str" cm="1">
        <f t="array" aca="1" ref="G196" ca="1">IF(C196="", "", INDEX(INDIRECT("'"&amp;A196&amp;"'!8:8"), COLUMN(INDIRECT("'"&amp;A196&amp;"'!"&amp;C196))))</f>
        <v>Integer</v>
      </c>
      <c r="H196" s="154" t="str" cm="1">
        <f t="array" aca="1" ref="H196" ca="1">IF(C196="","",T(INDIRECT("'"&amp;A196&amp;"'!"&amp;ADDRESS(7, COLUMN(INDIRECT("'"&amp;A196&amp;"'!"&amp;C196))))))</f>
        <v>Stock</v>
      </c>
      <c r="I196" s="154" t="str" cm="1">
        <f t="array" aca="1" ref="I196" ca="1">IF(C196="","",T(INDIRECT("'"&amp;A196&amp;"'!"&amp;ADDRESS(9, COLUMN(INDIRECT("'"&amp;A196&amp;"'!"&amp;C196))))))</f>
        <v/>
      </c>
      <c r="J196" t="s">
        <v>1578</v>
      </c>
      <c r="K196" t="s">
        <v>1579</v>
      </c>
      <c r="L196" t="s">
        <v>1581</v>
      </c>
    </row>
    <row r="197" spans="1:12" ht="15" customHeight="1">
      <c r="A197" s="154" t="s">
        <v>316</v>
      </c>
      <c r="B197" s="154" t="s">
        <v>85</v>
      </c>
      <c r="C197" t="s">
        <v>1553</v>
      </c>
      <c r="D197" s="154" t="s">
        <v>38</v>
      </c>
      <c r="E197" s="155" t="str" cm="1">
        <f t="array" aca="1" ref="E197" ca="1">IF(C197="", INDIRECT("'"&amp;A197&amp;"'!B3"), INDEX(INDIRECT("'"&amp;A197&amp;"'!5:5"), COLUMN(INDIRECT("'"&amp;A197&amp;"'!"&amp;C197))))</f>
        <v>Legal Entities – PEPs, Family Members or Close Associates as BOs</v>
      </c>
      <c r="F197" s="155" cm="1">
        <f t="array" aca="1" ref="F197" ca="1">IF(C197="", "", INDEX(INDIRECT("'"&amp;A197&amp;"'!3:3"), COLUMN(INDIRECT("'"&amp;A197&amp;"'!"&amp;C197))))</f>
        <v>0</v>
      </c>
      <c r="G197" s="154" t="str" cm="1">
        <f t="array" aca="1" ref="G197" ca="1">IF(C197="", "", INDEX(INDIRECT("'"&amp;A197&amp;"'!8:8"), COLUMN(INDIRECT("'"&amp;A197&amp;"'!"&amp;C197))))</f>
        <v>Integer</v>
      </c>
      <c r="H197" s="154" t="str" cm="1">
        <f t="array" aca="1" ref="H197" ca="1">IF(C197="","",T(INDIRECT("'"&amp;A197&amp;"'!"&amp;ADDRESS(7, COLUMN(INDIRECT("'"&amp;A197&amp;"'!"&amp;C197))))))</f>
        <v>Stock</v>
      </c>
      <c r="I197" s="154" t="str" cm="1">
        <f t="array" aca="1" ref="I197" ca="1">IF(C197="","",T(INDIRECT("'"&amp;A197&amp;"'!"&amp;ADDRESS(9, COLUMN(INDIRECT("'"&amp;A197&amp;"'!"&amp;C197))))))</f>
        <v/>
      </c>
      <c r="J197" t="s">
        <v>1578</v>
      </c>
      <c r="K197" t="s">
        <v>1580</v>
      </c>
      <c r="L197" t="s">
        <v>1581</v>
      </c>
    </row>
    <row r="198" spans="1:12" ht="15" customHeight="1">
      <c r="A198" s="154" t="s">
        <v>316</v>
      </c>
      <c r="B198" s="154" t="s">
        <v>86</v>
      </c>
      <c r="C198" t="s">
        <v>1554</v>
      </c>
      <c r="D198" s="154" t="s">
        <v>38</v>
      </c>
      <c r="E198" s="155" t="str" cm="1">
        <f t="array" aca="1" ref="E198" ca="1">IF(C198="", INDIRECT("'"&amp;A198&amp;"'!B3"), INDEX(INDIRECT("'"&amp;A198&amp;"'!5:5"), COLUMN(INDIRECT("'"&amp;A198&amp;"'!"&amp;C198))))</f>
        <v>Transactions (Incoming) – Number</v>
      </c>
      <c r="F198" s="155" cm="1">
        <f t="array" aca="1" ref="F198" ca="1">IF(C198="", "", INDEX(INDIRECT("'"&amp;A198&amp;"'!3:3"), COLUMN(INDIRECT("'"&amp;A198&amp;"'!"&amp;C198))))</f>
        <v>0</v>
      </c>
      <c r="G198" s="154" t="str" cm="1">
        <f t="array" aca="1" ref="G198" ca="1">IF(C198="", "", INDEX(INDIRECT("'"&amp;A198&amp;"'!8:8"), COLUMN(INDIRECT("'"&amp;A198&amp;"'!"&amp;C198))))</f>
        <v>Integer</v>
      </c>
      <c r="H198" s="154" t="str" cm="1">
        <f t="array" aca="1" ref="H198" ca="1">IF(C198="","",T(INDIRECT("'"&amp;A198&amp;"'!"&amp;ADDRESS(7, COLUMN(INDIRECT("'"&amp;A198&amp;"'!"&amp;C198))))))</f>
        <v>Flow</v>
      </c>
      <c r="I198" s="154" t="str" cm="1">
        <f t="array" aca="1" ref="I198" ca="1">IF(C198="","",T(INDIRECT("'"&amp;A198&amp;"'!"&amp;ADDRESS(9, COLUMN(INDIRECT("'"&amp;A198&amp;"'!"&amp;C198))))))</f>
        <v/>
      </c>
      <c r="J198" t="s">
        <v>1594</v>
      </c>
      <c r="K198" t="s">
        <v>1593</v>
      </c>
      <c r="L198" t="s">
        <v>1595</v>
      </c>
    </row>
    <row r="199" spans="1:12" ht="15" customHeight="1">
      <c r="A199" s="154" t="s">
        <v>316</v>
      </c>
      <c r="B199" s="154" t="s">
        <v>87</v>
      </c>
      <c r="C199" t="s">
        <v>1555</v>
      </c>
      <c r="D199" s="154" t="s">
        <v>38</v>
      </c>
      <c r="E199" s="155" t="str" cm="1">
        <f t="array" aca="1" ref="E199" ca="1">IF(C199="", INDIRECT("'"&amp;A199&amp;"'!B3"), INDEX(INDIRECT("'"&amp;A199&amp;"'!5:5"), COLUMN(INDIRECT("'"&amp;A199&amp;"'!"&amp;C199))))</f>
        <v>Transactions (Incoming) - Value</v>
      </c>
      <c r="F199" s="155" cm="1">
        <f t="array" aca="1" ref="F199" ca="1">IF(C199="", "", INDEX(INDIRECT("'"&amp;A199&amp;"'!3:3"), COLUMN(INDIRECT("'"&amp;A199&amp;"'!"&amp;C199))))</f>
        <v>0</v>
      </c>
      <c r="G199" s="154" t="str" cm="1">
        <f t="array" aca="1" ref="G199" ca="1">IF(C199="", "", INDEX(INDIRECT("'"&amp;A199&amp;"'!8:8"), COLUMN(INDIRECT("'"&amp;A199&amp;"'!"&amp;C199))))</f>
        <v>Monetary</v>
      </c>
      <c r="H199" s="154" t="str" cm="1">
        <f t="array" aca="1" ref="H199" ca="1">IF(C199="","",T(INDIRECT("'"&amp;A199&amp;"'!"&amp;ADDRESS(7, COLUMN(INDIRECT("'"&amp;A199&amp;"'!"&amp;C199))))))</f>
        <v>Flow</v>
      </c>
      <c r="I199" s="154" t="str" cm="1">
        <f t="array" aca="1" ref="I199" ca="1">IF(C199="","",T(INDIRECT("'"&amp;A199&amp;"'!"&amp;ADDRESS(9, COLUMN(INDIRECT("'"&amp;A199&amp;"'!"&amp;C199))))))</f>
        <v/>
      </c>
      <c r="J199" t="s">
        <v>1596</v>
      </c>
      <c r="K199" t="s">
        <v>1593</v>
      </c>
      <c r="L199" t="s">
        <v>1595</v>
      </c>
    </row>
    <row r="200" spans="1:12" ht="15" customHeight="1">
      <c r="A200" s="154" t="s">
        <v>316</v>
      </c>
      <c r="B200" s="154" t="s">
        <v>88</v>
      </c>
      <c r="C200" t="s">
        <v>1556</v>
      </c>
      <c r="D200" s="154" t="s">
        <v>38</v>
      </c>
      <c r="E200" s="155" t="str" cm="1">
        <f t="array" aca="1" ref="E200" ca="1">IF(C200="", INDIRECT("'"&amp;A200&amp;"'!B3"), INDEX(INDIRECT("'"&amp;A200&amp;"'!5:5"), COLUMN(INDIRECT("'"&amp;A200&amp;"'!"&amp;C200))))</f>
        <v>Transactions (Outgoing) - Number</v>
      </c>
      <c r="F200" s="155" cm="1">
        <f t="array" aca="1" ref="F200" ca="1">IF(C200="", "", INDEX(INDIRECT("'"&amp;A200&amp;"'!3:3"), COLUMN(INDIRECT("'"&amp;A200&amp;"'!"&amp;C200))))</f>
        <v>0</v>
      </c>
      <c r="G200" s="154" t="str" cm="1">
        <f t="array" aca="1" ref="G200" ca="1">IF(C200="", "", INDEX(INDIRECT("'"&amp;A200&amp;"'!8:8"), COLUMN(INDIRECT("'"&amp;A200&amp;"'!"&amp;C200))))</f>
        <v>Integer</v>
      </c>
      <c r="H200" s="154" t="str" cm="1">
        <f t="array" aca="1" ref="H200" ca="1">IF(C200="","",T(INDIRECT("'"&amp;A200&amp;"'!"&amp;ADDRESS(7, COLUMN(INDIRECT("'"&amp;A200&amp;"'!"&amp;C200))))))</f>
        <v>Flow</v>
      </c>
      <c r="I200" s="154" t="str" cm="1">
        <f t="array" aca="1" ref="I200" ca="1">IF(C200="","",T(INDIRECT("'"&amp;A200&amp;"'!"&amp;ADDRESS(9, COLUMN(INDIRECT("'"&amp;A200&amp;"'!"&amp;C200))))))</f>
        <v/>
      </c>
      <c r="J200" t="s">
        <v>1594</v>
      </c>
      <c r="K200" t="s">
        <v>1593</v>
      </c>
      <c r="L200" t="s">
        <v>1597</v>
      </c>
    </row>
    <row r="201" spans="1:12" ht="15" customHeight="1">
      <c r="A201" s="154" t="s">
        <v>316</v>
      </c>
      <c r="B201" s="154" t="s">
        <v>89</v>
      </c>
      <c r="C201" t="s">
        <v>1557</v>
      </c>
      <c r="D201" s="154" t="s">
        <v>38</v>
      </c>
      <c r="E201" s="155" t="str" cm="1">
        <f t="array" aca="1" ref="E201" ca="1">IF(C201="", INDIRECT("'"&amp;A201&amp;"'!B3"), INDEX(INDIRECT("'"&amp;A201&amp;"'!5:5"), COLUMN(INDIRECT("'"&amp;A201&amp;"'!"&amp;C201))))</f>
        <v>Transactions (Outgoing) - Value</v>
      </c>
      <c r="F201" s="155" cm="1">
        <f t="array" aca="1" ref="F201" ca="1">IF(C201="", "", INDEX(INDIRECT("'"&amp;A201&amp;"'!3:3"), COLUMN(INDIRECT("'"&amp;A201&amp;"'!"&amp;C201))))</f>
        <v>0</v>
      </c>
      <c r="G201" s="154" t="str" cm="1">
        <f t="array" aca="1" ref="G201" ca="1">IF(C201="", "", INDEX(INDIRECT("'"&amp;A201&amp;"'!8:8"), COLUMN(INDIRECT("'"&amp;A201&amp;"'!"&amp;C201))))</f>
        <v>Monetary</v>
      </c>
      <c r="H201" s="154" t="str" cm="1">
        <f t="array" aca="1" ref="H201" ca="1">IF(C201="","",T(INDIRECT("'"&amp;A201&amp;"'!"&amp;ADDRESS(7, COLUMN(INDIRECT("'"&amp;A201&amp;"'!"&amp;C201))))))</f>
        <v>Flow</v>
      </c>
      <c r="I201" s="154" t="str" cm="1">
        <f t="array" aca="1" ref="I201" ca="1">IF(C201="","",T(INDIRECT("'"&amp;A201&amp;"'!"&amp;ADDRESS(9, COLUMN(INDIRECT("'"&amp;A201&amp;"'!"&amp;C201))))))</f>
        <v/>
      </c>
      <c r="J201" t="s">
        <v>1596</v>
      </c>
      <c r="K201" t="s">
        <v>1593</v>
      </c>
      <c r="L201" t="s">
        <v>1597</v>
      </c>
    </row>
    <row r="202" spans="1:12" ht="15" customHeight="1">
      <c r="A202" s="154" t="s">
        <v>316</v>
      </c>
      <c r="B202" s="154" t="s">
        <v>90</v>
      </c>
      <c r="C202" t="s">
        <v>1558</v>
      </c>
      <c r="D202" s="154" t="s">
        <v>38</v>
      </c>
      <c r="E202" s="155" t="str" cm="1">
        <f t="array" aca="1" ref="E202" ca="1">IF(C202="", INDIRECT("'"&amp;A202&amp;"'!B3"), INDEX(INDIRECT("'"&amp;A202&amp;"'!5:5"), COLUMN(INDIRECT("'"&amp;A202&amp;"'!"&amp;C202))))</f>
        <v>CIU Investment Flows - Value</v>
      </c>
      <c r="F202" s="155" cm="1">
        <f t="array" aca="1" ref="F202" ca="1">IF(C202="", "", INDEX(INDIRECT("'"&amp;A202&amp;"'!3:3"), COLUMN(INDIRECT("'"&amp;A202&amp;"'!"&amp;C202))))</f>
        <v>0</v>
      </c>
      <c r="G202" s="154" t="str" cm="1">
        <f t="array" aca="1" ref="G202" ca="1">IF(C202="", "", INDEX(INDIRECT("'"&amp;A202&amp;"'!8:8"), COLUMN(INDIRECT("'"&amp;A202&amp;"'!"&amp;C202))))</f>
        <v>Monetary</v>
      </c>
      <c r="H202" s="154" t="str" cm="1">
        <f t="array" aca="1" ref="H202" ca="1">IF(C202="","",T(INDIRECT("'"&amp;A202&amp;"'!"&amp;ADDRESS(7, COLUMN(INDIRECT("'"&amp;A202&amp;"'!"&amp;C202))))))</f>
        <v>Flow</v>
      </c>
      <c r="I202" s="154" t="str" cm="1">
        <f t="array" aca="1" ref="I202" ca="1">IF(C202="","",T(INDIRECT("'"&amp;A202&amp;"'!"&amp;ADDRESS(9, COLUMN(INDIRECT("'"&amp;A202&amp;"'!"&amp;C202))))))</f>
        <v/>
      </c>
      <c r="J202" t="s">
        <v>1602</v>
      </c>
      <c r="K202" t="s">
        <v>1675</v>
      </c>
    </row>
    <row r="203" spans="1:12" ht="15" customHeight="1">
      <c r="A203" s="154" t="s">
        <v>316</v>
      </c>
      <c r="B203" s="154" t="s">
        <v>91</v>
      </c>
      <c r="C203" t="s">
        <v>1559</v>
      </c>
      <c r="D203" s="154" t="s">
        <v>38</v>
      </c>
      <c r="E203" s="155" t="str" cm="1">
        <f t="array" aca="1" ref="E203" ca="1">IF(C203="", INDIRECT("'"&amp;A203&amp;"'!B3"), INDEX(INDIRECT("'"&amp;A203&amp;"'!5:5"), COLUMN(INDIRECT("'"&amp;A203&amp;"'!"&amp;C203))))</f>
        <v>Investors</v>
      </c>
      <c r="F203" s="155" cm="1">
        <f t="array" aca="1" ref="F203" ca="1">IF(C203="", "", INDEX(INDIRECT("'"&amp;A203&amp;"'!3:3"), COLUMN(INDIRECT("'"&amp;A203&amp;"'!"&amp;C203))))</f>
        <v>0</v>
      </c>
      <c r="G203" s="154" t="str" cm="1">
        <f t="array" aca="1" ref="G203" ca="1">IF(C203="", "", INDEX(INDIRECT("'"&amp;A203&amp;"'!8:8"), COLUMN(INDIRECT("'"&amp;A203&amp;"'!"&amp;C203))))</f>
        <v>Integer</v>
      </c>
      <c r="H203" s="154" t="str" cm="1">
        <f t="array" aca="1" ref="H203" ca="1">IF(C203="","",T(INDIRECT("'"&amp;A203&amp;"'!"&amp;ADDRESS(7, COLUMN(INDIRECT("'"&amp;A203&amp;"'!"&amp;C203))))))</f>
        <v>Stock</v>
      </c>
      <c r="I203" s="154" t="str" cm="1">
        <f t="array" aca="1" ref="I203" ca="1">IF(C203="","",T(INDIRECT("'"&amp;A203&amp;"'!"&amp;ADDRESS(9, COLUMN(INDIRECT("'"&amp;A203&amp;"'!"&amp;C203))))))</f>
        <v/>
      </c>
      <c r="J203" t="s">
        <v>1676</v>
      </c>
    </row>
    <row r="204" spans="1:12" ht="15" customHeight="1">
      <c r="A204" s="154" t="s">
        <v>316</v>
      </c>
      <c r="B204" s="154" t="s">
        <v>92</v>
      </c>
      <c r="C204" t="s">
        <v>1560</v>
      </c>
      <c r="D204" s="154" t="s">
        <v>38</v>
      </c>
      <c r="E204" s="155" t="str" cm="1">
        <f t="array" aca="1" ref="E204" ca="1">IF(C204="", INDIRECT("'"&amp;A204&amp;"'!B3"), INDEX(INDIRECT("'"&amp;A204&amp;"'!5:5"), COLUMN(INDIRECT("'"&amp;A204&amp;"'!"&amp;C204))))</f>
        <v>Assets under Management - Value</v>
      </c>
      <c r="F204" s="155" cm="1">
        <f t="array" aca="1" ref="F204" ca="1">IF(C204="", "", INDEX(INDIRECT("'"&amp;A204&amp;"'!3:3"), COLUMN(INDIRECT("'"&amp;A204&amp;"'!"&amp;C204))))</f>
        <v>0</v>
      </c>
      <c r="G204" s="154" t="str" cm="1">
        <f t="array" aca="1" ref="G204" ca="1">IF(C204="", "", INDEX(INDIRECT("'"&amp;A204&amp;"'!8:8"), COLUMN(INDIRECT("'"&amp;A204&amp;"'!"&amp;C204))))</f>
        <v>Monetary</v>
      </c>
      <c r="H204" s="154" t="str" cm="1">
        <f t="array" aca="1" ref="H204" ca="1">IF(C204="","",T(INDIRECT("'"&amp;A204&amp;"'!"&amp;ADDRESS(7, COLUMN(INDIRECT("'"&amp;A204&amp;"'!"&amp;C204))))))</f>
        <v>Stock</v>
      </c>
      <c r="I204" s="154" t="str" cm="1">
        <f t="array" aca="1" ref="I204" ca="1">IF(C204="","",T(INDIRECT("'"&amp;A204&amp;"'!"&amp;ADDRESS(9, COLUMN(INDIRECT("'"&amp;A204&amp;"'!"&amp;C204))))))</f>
        <v/>
      </c>
      <c r="J204" t="s">
        <v>1639</v>
      </c>
      <c r="K204" t="s">
        <v>1638</v>
      </c>
    </row>
    <row r="205" spans="1:12" ht="15" customHeight="1">
      <c r="A205" s="154" t="s">
        <v>316</v>
      </c>
      <c r="B205" s="154" t="s">
        <v>93</v>
      </c>
      <c r="C205" t="s">
        <v>1561</v>
      </c>
      <c r="D205" s="154" t="s">
        <v>38</v>
      </c>
      <c r="E205" s="155" t="str" cm="1">
        <f t="array" aca="1" ref="E205" ca="1">IF(C205="", INDIRECT("'"&amp;A205&amp;"'!B3"), INDEX(INDIRECT("'"&amp;A205&amp;"'!5:5"), COLUMN(INDIRECT("'"&amp;A205&amp;"'!"&amp;C205))))</f>
        <v>Respondent Institutions</v>
      </c>
      <c r="F205" s="155" cm="1">
        <f t="array" aca="1" ref="F205" ca="1">IF(C205="", "", INDEX(INDIRECT("'"&amp;A205&amp;"'!3:3"), COLUMN(INDIRECT("'"&amp;A205&amp;"'!"&amp;C205))))</f>
        <v>0</v>
      </c>
      <c r="G205" s="154" t="str" cm="1">
        <f t="array" aca="1" ref="G205" ca="1">IF(C205="", "", INDEX(INDIRECT("'"&amp;A205&amp;"'!8:8"), COLUMN(INDIRECT("'"&amp;A205&amp;"'!"&amp;C205))))</f>
        <v>Integer</v>
      </c>
      <c r="H205" s="154" t="str" cm="1">
        <f t="array" aca="1" ref="H205" ca="1">IF(C205="","",T(INDIRECT("'"&amp;A205&amp;"'!"&amp;ADDRESS(7, COLUMN(INDIRECT("'"&amp;A205&amp;"'!"&amp;C205))))))</f>
        <v>Stock</v>
      </c>
      <c r="I205" s="154" t="str" cm="1">
        <f t="array" aca="1" ref="I205" ca="1">IF(C205="","",T(INDIRECT("'"&amp;A205&amp;"'!"&amp;ADDRESS(9, COLUMN(INDIRECT("'"&amp;A205&amp;"'!"&amp;C205))))))</f>
        <v/>
      </c>
      <c r="J205" t="s">
        <v>1677</v>
      </c>
      <c r="K205" t="s">
        <v>1646</v>
      </c>
      <c r="L205" t="s">
        <v>1678</v>
      </c>
    </row>
    <row r="206" spans="1:12" ht="15" customHeight="1">
      <c r="A206" s="154" t="s">
        <v>316</v>
      </c>
      <c r="B206" s="154" t="s">
        <v>94</v>
      </c>
      <c r="C206" t="s">
        <v>1562</v>
      </c>
      <c r="D206" s="154" t="s">
        <v>38</v>
      </c>
      <c r="E206" s="155" t="str" cm="1">
        <f t="array" aca="1" ref="E206" ca="1">IF(C206="", INDIRECT("'"&amp;A206&amp;"'!B3"), INDEX(INDIRECT("'"&amp;A206&amp;"'!5:5"), COLUMN(INDIRECT("'"&amp;A206&amp;"'!"&amp;C206))))</f>
        <v>Respondent Client Funds (Incoming) - Value</v>
      </c>
      <c r="F206" s="155" cm="1">
        <f t="array" aca="1" ref="F206" ca="1">IF(C206="", "", INDEX(INDIRECT("'"&amp;A206&amp;"'!3:3"), COLUMN(INDIRECT("'"&amp;A206&amp;"'!"&amp;C206))))</f>
        <v>0</v>
      </c>
      <c r="G206" s="154" t="str" cm="1">
        <f t="array" aca="1" ref="G206" ca="1">IF(C206="", "", INDEX(INDIRECT("'"&amp;A206&amp;"'!8:8"), COLUMN(INDIRECT("'"&amp;A206&amp;"'!"&amp;C206))))</f>
        <v>Monetary</v>
      </c>
      <c r="H206" s="154" t="str" cm="1">
        <f t="array" aca="1" ref="H206" ca="1">IF(C206="","",T(INDIRECT("'"&amp;A206&amp;"'!"&amp;ADDRESS(7, COLUMN(INDIRECT("'"&amp;A206&amp;"'!"&amp;C206))))))</f>
        <v>Flow</v>
      </c>
      <c r="I206" s="154" t="str" cm="1">
        <f t="array" aca="1" ref="I206" ca="1">IF(C206="","",T(INDIRECT("'"&amp;A206&amp;"'!"&amp;ADDRESS(9, COLUMN(INDIRECT("'"&amp;A206&amp;"'!"&amp;C206))))))</f>
        <v/>
      </c>
      <c r="J206" t="s">
        <v>1594</v>
      </c>
      <c r="K206" t="s">
        <v>1595</v>
      </c>
      <c r="L206" t="s">
        <v>1646</v>
      </c>
    </row>
    <row r="207" spans="1:12" ht="15" customHeight="1">
      <c r="A207" s="154" t="s">
        <v>316</v>
      </c>
      <c r="B207" s="154" t="s">
        <v>95</v>
      </c>
      <c r="C207" t="s">
        <v>1563</v>
      </c>
      <c r="D207" s="154" t="s">
        <v>38</v>
      </c>
      <c r="E207" s="155" t="str" cm="1">
        <f t="array" aca="1" ref="E207" ca="1">IF(C207="", INDIRECT("'"&amp;A207&amp;"'!B3"), INDEX(INDIRECT("'"&amp;A207&amp;"'!5:5"), COLUMN(INDIRECT("'"&amp;A207&amp;"'!"&amp;C207))))</f>
        <v>Respondent Client Funds (Outgoing) - Value</v>
      </c>
      <c r="F207" s="155" cm="1">
        <f t="array" aca="1" ref="F207" ca="1">IF(C207="", "", INDEX(INDIRECT("'"&amp;A207&amp;"'!3:3"), COLUMN(INDIRECT("'"&amp;A207&amp;"'!"&amp;C207))))</f>
        <v>0</v>
      </c>
      <c r="G207" s="154" t="str" cm="1">
        <f t="array" aca="1" ref="G207" ca="1">IF(C207="", "", INDEX(INDIRECT("'"&amp;A207&amp;"'!8:8"), COLUMN(INDIRECT("'"&amp;A207&amp;"'!"&amp;C207))))</f>
        <v>Monetary</v>
      </c>
      <c r="H207" s="154" t="str" cm="1">
        <f t="array" aca="1" ref="H207" ca="1">IF(C207="","",T(INDIRECT("'"&amp;A207&amp;"'!"&amp;ADDRESS(7, COLUMN(INDIRECT("'"&amp;A207&amp;"'!"&amp;C207))))))</f>
        <v>Flow</v>
      </c>
      <c r="I207" s="154" t="str" cm="1">
        <f t="array" aca="1" ref="I207" ca="1">IF(C207="","",T(INDIRECT("'"&amp;A207&amp;"'!"&amp;ADDRESS(9, COLUMN(INDIRECT("'"&amp;A207&amp;"'!"&amp;C207))))))</f>
        <v/>
      </c>
      <c r="J207" t="s">
        <v>1594</v>
      </c>
      <c r="K207" t="s">
        <v>1597</v>
      </c>
      <c r="L207" t="s">
        <v>1646</v>
      </c>
    </row>
    <row r="208" spans="1:12" ht="15" customHeight="1">
      <c r="A208" s="154" t="s">
        <v>316</v>
      </c>
      <c r="B208" s="154" t="s">
        <v>96</v>
      </c>
      <c r="C208" t="s">
        <v>1564</v>
      </c>
      <c r="D208" s="154" t="s">
        <v>38</v>
      </c>
      <c r="E208" s="155" t="str" cm="1">
        <f t="array" aca="1" ref="E208" ca="1">IF(C208="", INDIRECT("'"&amp;A208&amp;"'!B3"), INDEX(INDIRECT("'"&amp;A208&amp;"'!5:5"), COLUMN(INDIRECT("'"&amp;A208&amp;"'!"&amp;C208))))</f>
        <v>Number of branches by country</v>
      </c>
      <c r="F208" s="155" cm="1">
        <f t="array" aca="1" ref="F208" ca="1">IF(C208="", "", INDEX(INDIRECT("'"&amp;A208&amp;"'!3:3"), COLUMN(INDIRECT("'"&amp;A208&amp;"'!"&amp;C208))))</f>
        <v>0</v>
      </c>
      <c r="G208" s="154" t="str" cm="1">
        <f t="array" aca="1" ref="G208" ca="1">IF(C208="", "", INDEX(INDIRECT("'"&amp;A208&amp;"'!8:8"), COLUMN(INDIRECT("'"&amp;A208&amp;"'!"&amp;C208))))</f>
        <v>Integer</v>
      </c>
      <c r="H208" s="154" t="str" cm="1">
        <f t="array" aca="1" ref="H208" ca="1">IF(C208="","",T(INDIRECT("'"&amp;A208&amp;"'!"&amp;ADDRESS(7, COLUMN(INDIRECT("'"&amp;A208&amp;"'!"&amp;C208))))))</f>
        <v>Stock</v>
      </c>
      <c r="I208" s="154" t="str" cm="1">
        <f t="array" aca="1" ref="I208" ca="1">IF(C208="","",T(INDIRECT("'"&amp;A208&amp;"'!"&amp;ADDRESS(9, COLUMN(INDIRECT("'"&amp;A208&amp;"'!"&amp;C208))))))</f>
        <v/>
      </c>
      <c r="J208" t="s">
        <v>1679</v>
      </c>
    </row>
    <row r="209" spans="1:13" ht="15" customHeight="1">
      <c r="A209" s="154" t="s">
        <v>316</v>
      </c>
      <c r="B209" s="154" t="s">
        <v>97</v>
      </c>
      <c r="C209" t="s">
        <v>1565</v>
      </c>
      <c r="D209" s="154" t="s">
        <v>38</v>
      </c>
      <c r="E209" s="155" t="str" cm="1">
        <f t="array" aca="1" ref="E209" ca="1">IF(C209="", INDIRECT("'"&amp;A209&amp;"'!B3"), INDEX(INDIRECT("'"&amp;A209&amp;"'!5:5"), COLUMN(INDIRECT("'"&amp;A209&amp;"'!"&amp;C209))))</f>
        <v>Number of subsidiaries by country</v>
      </c>
      <c r="F209" s="155" cm="1">
        <f t="array" aca="1" ref="F209" ca="1">IF(C209="", "", INDEX(INDIRECT("'"&amp;A209&amp;"'!3:3"), COLUMN(INDIRECT("'"&amp;A209&amp;"'!"&amp;C209))))</f>
        <v>0</v>
      </c>
      <c r="G209" s="154" t="str" cm="1">
        <f t="array" aca="1" ref="G209" ca="1">IF(C209="", "", INDEX(INDIRECT("'"&amp;A209&amp;"'!8:8"), COLUMN(INDIRECT("'"&amp;A209&amp;"'!"&amp;C209))))</f>
        <v>Integer</v>
      </c>
      <c r="H209" s="154" t="str" cm="1">
        <f t="array" aca="1" ref="H209" ca="1">IF(C209="","",T(INDIRECT("'"&amp;A209&amp;"'!"&amp;ADDRESS(7, COLUMN(INDIRECT("'"&amp;A209&amp;"'!"&amp;C209))))))</f>
        <v>Stock</v>
      </c>
      <c r="I209" s="154" t="str" cm="1">
        <f t="array" aca="1" ref="I209" ca="1">IF(C209="","",T(INDIRECT("'"&amp;A209&amp;"'!"&amp;ADDRESS(9, COLUMN(INDIRECT("'"&amp;A209&amp;"'!"&amp;C209))))))</f>
        <v/>
      </c>
      <c r="J209" t="s">
        <v>1680</v>
      </c>
    </row>
    <row r="210" spans="1:13" ht="15" customHeight="1">
      <c r="A210" s="154" t="s">
        <v>331</v>
      </c>
      <c r="E210" s="155" cm="1">
        <f t="array" aca="1" ref="E210" ca="1">IF(C210="", INDIRECT("'"&amp;A210&amp;"'!B3"), INDEX(INDIRECT("'"&amp;A210&amp;"'!5:5"), COLUMN(INDIRECT("'"&amp;A210&amp;"'!"&amp;C210))))</f>
        <v>0</v>
      </c>
      <c r="F210" s="155" t="str" cm="1">
        <f t="array" aca="1" ref="F210" ca="1">IF(C210="", "", INDEX(INDIRECT("'"&amp;A210&amp;"'!3:3"), COLUMN(INDIRECT("'"&amp;A210&amp;"'!"&amp;C210))))</f>
        <v/>
      </c>
      <c r="G210" s="154" t="str" cm="1">
        <f t="array" aca="1" ref="G210" ca="1">IF(C210="", "", INDEX(INDIRECT("'"&amp;A210&amp;"'!8:8"), COLUMN(INDIRECT("'"&amp;A210&amp;"'!"&amp;C210))))</f>
        <v/>
      </c>
      <c r="H210" s="154" t="str" cm="1">
        <f t="array" aca="1" ref="H210" ca="1">IF(C210="","",T(INDIRECT("'"&amp;A210&amp;"'!"&amp;ADDRESS(7, COLUMN(INDIRECT("'"&amp;A210&amp;"'!"&amp;C210))))))</f>
        <v/>
      </c>
      <c r="I210" s="154" t="str" cm="1">
        <f t="array" aca="1" ref="I210" ca="1">IF(C210="","",T(INDIRECT("'"&amp;A210&amp;"'!"&amp;ADDRESS(9, COLUMN(INDIRECT("'"&amp;A210&amp;"'!"&amp;C210))))))</f>
        <v/>
      </c>
    </row>
    <row r="211" spans="1:13" ht="15" customHeight="1">
      <c r="A211" s="154" t="s">
        <v>331</v>
      </c>
      <c r="B211" s="154" t="s">
        <v>81</v>
      </c>
      <c r="C211" t="s">
        <v>1549</v>
      </c>
      <c r="D211" s="154" t="s">
        <v>332</v>
      </c>
      <c r="E211" s="155" t="str" cm="1">
        <f t="array" aca="1" ref="E211" ca="1">IF(C211="", INDIRECT("'"&amp;A211&amp;"'!B3"), INDEX(INDIRECT("'"&amp;A211&amp;"'!5:5"), COLUMN(INDIRECT("'"&amp;A211&amp;"'!"&amp;C211))))</f>
        <v>Country</v>
      </c>
      <c r="F211" s="155" cm="1">
        <f t="array" aca="1" ref="F211" ca="1">IF(C211="", "", INDEX(INDIRECT("'"&amp;A211&amp;"'!3:3"), COLUMN(INDIRECT("'"&amp;A211&amp;"'!"&amp;C211))))</f>
        <v>0</v>
      </c>
      <c r="G211" s="154" t="str" cm="1">
        <f t="array" aca="1" ref="G211" ca="1">IF(C211="", "", INDEX(INDIRECT("'"&amp;A211&amp;"'!8:8"), COLUMN(INDIRECT("'"&amp;A211&amp;"'!"&amp;C211))))</f>
        <v>LIST_AMLA_00005</v>
      </c>
      <c r="H211" s="154" t="str" cm="1">
        <f t="array" aca="1" ref="H211" ca="1">IF(C211="","",T(INDIRECT("'"&amp;A211&amp;"'!"&amp;ADDRESS(7, COLUMN(INDIRECT("'"&amp;A211&amp;"'!"&amp;C211))))))</f>
        <v/>
      </c>
      <c r="I211" s="154" t="str" cm="1">
        <f t="array" aca="1" ref="I211" ca="1">IF(C211="","",T(INDIRECT("'"&amp;A211&amp;"'!"&amp;ADDRESS(9, COLUMN(INDIRECT("'"&amp;A211&amp;"'!"&amp;C211))))))</f>
        <v/>
      </c>
      <c r="K211" t="s">
        <v>1674</v>
      </c>
    </row>
    <row r="212" spans="1:13" ht="15" customHeight="1">
      <c r="A212" s="154" t="s">
        <v>331</v>
      </c>
      <c r="B212" s="154" t="s">
        <v>82</v>
      </c>
      <c r="C212" t="s">
        <v>1550</v>
      </c>
      <c r="D212" s="154" t="s">
        <v>332</v>
      </c>
      <c r="E212" s="155" t="str" cm="1">
        <f t="array" aca="1" ref="E212" ca="1">IF(C212="", INDIRECT("'"&amp;A212&amp;"'!B3"), INDEX(INDIRECT("'"&amp;A212&amp;"'!5:5"), COLUMN(INDIRECT("'"&amp;A212&amp;"'!"&amp;C212))))</f>
        <v>Number of agents by country</v>
      </c>
      <c r="F212" s="155" cm="1">
        <f t="array" aca="1" ref="F212" ca="1">IF(C212="", "", INDEX(INDIRECT("'"&amp;A212&amp;"'!3:3"), COLUMN(INDIRECT("'"&amp;A212&amp;"'!"&amp;C212))))</f>
        <v>0</v>
      </c>
      <c r="G212" s="154" t="str" cm="1">
        <f t="array" aca="1" ref="G212" ca="1">IF(C212="", "", INDEX(INDIRECT("'"&amp;A212&amp;"'!8:8"), COLUMN(INDIRECT("'"&amp;A212&amp;"'!"&amp;C212))))</f>
        <v>Integer</v>
      </c>
      <c r="H212" s="154" t="str" cm="1">
        <f t="array" aca="1" ref="H212" ca="1">IF(C212="","",T(INDIRECT("'"&amp;A212&amp;"'!"&amp;ADDRESS(7, COLUMN(INDIRECT("'"&amp;A212&amp;"'!"&amp;C212))))))</f>
        <v>Stock</v>
      </c>
      <c r="I212" s="154" t="str" cm="1">
        <f t="array" aca="1" ref="I212" ca="1">IF(C212="","",T(INDIRECT("'"&amp;A212&amp;"'!"&amp;ADDRESS(9, COLUMN(INDIRECT("'"&amp;A212&amp;"'!"&amp;C212))))))</f>
        <v/>
      </c>
      <c r="J212" t="s">
        <v>1681</v>
      </c>
    </row>
    <row r="213" spans="1:13" ht="15" customHeight="1">
      <c r="A213" s="154" t="s">
        <v>331</v>
      </c>
      <c r="B213" s="154" t="s">
        <v>83</v>
      </c>
      <c r="C213" t="s">
        <v>1551</v>
      </c>
      <c r="D213" s="154" t="s">
        <v>332</v>
      </c>
      <c r="E213" s="155" t="str" cm="1">
        <f t="array" aca="1" ref="E213" ca="1">IF(C213="", INDIRECT("'"&amp;A213&amp;"'!B3"), INDEX(INDIRECT("'"&amp;A213&amp;"'!5:5"), COLUMN(INDIRECT("'"&amp;A213&amp;"'!"&amp;C213))))</f>
        <v>Number of distributors by country</v>
      </c>
      <c r="F213" s="155" cm="1">
        <f t="array" aca="1" ref="F213" ca="1">IF(C213="", "", INDEX(INDIRECT("'"&amp;A213&amp;"'!3:3"), COLUMN(INDIRECT("'"&amp;A213&amp;"'!"&amp;C213))))</f>
        <v>0</v>
      </c>
      <c r="G213" s="154" t="str" cm="1">
        <f t="array" aca="1" ref="G213" ca="1">IF(C213="", "", INDEX(INDIRECT("'"&amp;A213&amp;"'!8:8"), COLUMN(INDIRECT("'"&amp;A213&amp;"'!"&amp;C213))))</f>
        <v>Integer</v>
      </c>
      <c r="H213" s="154" t="str" cm="1">
        <f t="array" aca="1" ref="H213" ca="1">IF(C213="","",T(INDIRECT("'"&amp;A213&amp;"'!"&amp;ADDRESS(7, COLUMN(INDIRECT("'"&amp;A213&amp;"'!"&amp;C213))))))</f>
        <v>Stock</v>
      </c>
      <c r="I213" s="154" t="str" cm="1">
        <f t="array" aca="1" ref="I213" ca="1">IF(C213="","",T(INDIRECT("'"&amp;A213&amp;"'!"&amp;ADDRESS(9, COLUMN(INDIRECT("'"&amp;A213&amp;"'!"&amp;C213))))))</f>
        <v/>
      </c>
      <c r="J213" t="s">
        <v>1682</v>
      </c>
    </row>
    <row r="214" spans="1:13" ht="15" customHeight="1">
      <c r="A214" s="154" t="s">
        <v>331</v>
      </c>
      <c r="B214" s="154" t="s">
        <v>84</v>
      </c>
      <c r="C214" t="s">
        <v>1552</v>
      </c>
      <c r="D214" s="154" t="s">
        <v>332</v>
      </c>
      <c r="E214" s="155" t="str" cm="1">
        <f t="array" aca="1" ref="E214" ca="1">IF(C214="", INDIRECT("'"&amp;A214&amp;"'!B3"), INDEX(INDIRECT("'"&amp;A214&amp;"'!5:5"), COLUMN(INDIRECT("'"&amp;A214&amp;"'!"&amp;C214))))</f>
        <v>Gross Written Premiums through Brokers - Value</v>
      </c>
      <c r="F214" s="155" cm="1">
        <f t="array" aca="1" ref="F214" ca="1">IF(C214="", "", INDEX(INDIRECT("'"&amp;A214&amp;"'!3:3"), COLUMN(INDIRECT("'"&amp;A214&amp;"'!"&amp;C214))))</f>
        <v>0</v>
      </c>
      <c r="G214" s="154" t="str" cm="1">
        <f t="array" aca="1" ref="G214" ca="1">IF(C214="", "", INDEX(INDIRECT("'"&amp;A214&amp;"'!8:8"), COLUMN(INDIRECT("'"&amp;A214&amp;"'!"&amp;C214))))</f>
        <v>Monetary</v>
      </c>
      <c r="H214" s="154" t="str" cm="1">
        <f t="array" aca="1" ref="H214" ca="1">IF(C214="","",T(INDIRECT("'"&amp;A214&amp;"'!"&amp;ADDRESS(7, COLUMN(INDIRECT("'"&amp;A214&amp;"'!"&amp;C214))))))</f>
        <v>Flow</v>
      </c>
      <c r="I214" s="154" t="str" cm="1">
        <f t="array" aca="1" ref="I214" ca="1">IF(C214="","",T(INDIRECT("'"&amp;A214&amp;"'!"&amp;ADDRESS(9, COLUMN(INDIRECT("'"&amp;A214&amp;"'!"&amp;C214))))))</f>
        <v/>
      </c>
      <c r="J214" t="s">
        <v>1620</v>
      </c>
      <c r="K214" t="s">
        <v>1595</v>
      </c>
      <c r="L214" t="s">
        <v>1683</v>
      </c>
      <c r="M214" t="s">
        <v>1684</v>
      </c>
    </row>
    <row r="215" spans="1:13" ht="15" customHeight="1">
      <c r="A215" s="154" t="s">
        <v>331</v>
      </c>
      <c r="B215" s="154" t="s">
        <v>85</v>
      </c>
      <c r="C215" t="s">
        <v>1553</v>
      </c>
      <c r="D215" s="154" t="s">
        <v>332</v>
      </c>
      <c r="E215" s="155" t="str" cm="1">
        <f t="array" aca="1" ref="E215" ca="1">IF(C215="", INDIRECT("'"&amp;A215&amp;"'!B3"), INDEX(INDIRECT("'"&amp;A215&amp;"'!5:5"), COLUMN(INDIRECT("'"&amp;A215&amp;"'!"&amp;C215))))</f>
        <v>White Labelling Partners by country</v>
      </c>
      <c r="F215" s="155" cm="1">
        <f t="array" aca="1" ref="F215" ca="1">IF(C215="", "", INDEX(INDIRECT("'"&amp;A215&amp;"'!3:3"), COLUMN(INDIRECT("'"&amp;A215&amp;"'!"&amp;C215))))</f>
        <v>0</v>
      </c>
      <c r="G215" s="154" t="str" cm="1">
        <f t="array" aca="1" ref="G215" ca="1">IF(C215="", "", INDEX(INDIRECT("'"&amp;A215&amp;"'!8:8"), COLUMN(INDIRECT("'"&amp;A215&amp;"'!"&amp;C215))))</f>
        <v>Integer</v>
      </c>
      <c r="H215" s="154" t="str" cm="1">
        <f t="array" aca="1" ref="H215" ca="1">IF(C215="","",T(INDIRECT("'"&amp;A215&amp;"'!"&amp;ADDRESS(7, COLUMN(INDIRECT("'"&amp;A215&amp;"'!"&amp;C215))))))</f>
        <v>Stock</v>
      </c>
      <c r="I215" s="154" t="str" cm="1">
        <f t="array" aca="1" ref="I215" ca="1">IF(C215="","",T(INDIRECT("'"&amp;A215&amp;"'!"&amp;ADDRESS(9, COLUMN(INDIRECT("'"&amp;A215&amp;"'!"&amp;C215))))))</f>
        <v/>
      </c>
      <c r="J215" t="s">
        <v>1685</v>
      </c>
    </row>
    <row r="216" spans="1:13" ht="15" customHeight="1">
      <c r="A216" s="154" t="s">
        <v>337</v>
      </c>
      <c r="E216" s="155" cm="1">
        <f t="array" aca="1" ref="E216" ca="1">IF(C216="", INDIRECT("'"&amp;A216&amp;"'!B3"), INDEX(INDIRECT("'"&amp;A216&amp;"'!5:5"), COLUMN(INDIRECT("'"&amp;A216&amp;"'!"&amp;C216))))</f>
        <v>0</v>
      </c>
      <c r="F216" s="155" t="str" cm="1">
        <f t="array" aca="1" ref="F216" ca="1">IF(C216="", "", INDEX(INDIRECT("'"&amp;A216&amp;"'!3:3"), COLUMN(INDIRECT("'"&amp;A216&amp;"'!"&amp;C216))))</f>
        <v/>
      </c>
      <c r="G216" s="154" t="str" cm="1">
        <f t="array" aca="1" ref="G216" ca="1">IF(C216="", "", INDEX(INDIRECT("'"&amp;A216&amp;"'!8:8"), COLUMN(INDIRECT("'"&amp;A216&amp;"'!"&amp;C216))))</f>
        <v/>
      </c>
      <c r="H216" s="154" t="str" cm="1">
        <f t="array" aca="1" ref="H216" ca="1">IF(C216="","",T(INDIRECT("'"&amp;A216&amp;"'!"&amp;ADDRESS(7, COLUMN(INDIRECT("'"&amp;A216&amp;"'!"&amp;C216))))))</f>
        <v/>
      </c>
      <c r="I216" s="154" t="str" cm="1">
        <f t="array" aca="1" ref="I216" ca="1">IF(C216="","",T(INDIRECT("'"&amp;A216&amp;"'!"&amp;ADDRESS(9, COLUMN(INDIRECT("'"&amp;A216&amp;"'!"&amp;C216))))))</f>
        <v/>
      </c>
    </row>
    <row r="217" spans="1:13" ht="15" customHeight="1">
      <c r="A217" s="154" t="s">
        <v>337</v>
      </c>
      <c r="B217" s="154" t="s">
        <v>81</v>
      </c>
      <c r="C217" t="s">
        <v>1549</v>
      </c>
      <c r="D217" s="154" t="s">
        <v>339</v>
      </c>
      <c r="E217" s="155" t="str" cm="1">
        <f t="array" aca="1" ref="E217" ca="1">IF(C217="", INDIRECT("'"&amp;A217&amp;"'!B3"), INDEX(INDIRECT("'"&amp;A217&amp;"'!5:5"), COLUMN(INDIRECT("'"&amp;A217&amp;"'!"&amp;C217))))</f>
        <v>Last AML/CFT Compliance Check</v>
      </c>
      <c r="F217" s="155" cm="1">
        <f t="array" aca="1" ref="F217" ca="1">IF(C217="", "", INDEX(INDIRECT("'"&amp;A217&amp;"'!3:3"), COLUMN(INDIRECT("'"&amp;A217&amp;"'!"&amp;C217))))</f>
        <v>0</v>
      </c>
      <c r="G217" s="154" t="str" cm="1">
        <f t="array" aca="1" ref="G217" ca="1">IF(C217="", "", INDEX(INDIRECT("'"&amp;A217&amp;"'!8:8"), COLUMN(INDIRECT("'"&amp;A217&amp;"'!"&amp;C217))))</f>
        <v>Date</v>
      </c>
      <c r="H217" s="154" t="str" cm="1">
        <f t="array" aca="1" ref="H217" ca="1">IF(C217="","",T(INDIRECT("'"&amp;A217&amp;"'!"&amp;ADDRESS(7, COLUMN(INDIRECT("'"&amp;A217&amp;"'!"&amp;C217))))))</f>
        <v>Stock</v>
      </c>
      <c r="I217" s="154" t="str" cm="1">
        <f t="array" aca="1" ref="I217" ca="1">IF(C217="","",T(INDIRECT("'"&amp;A217&amp;"'!"&amp;ADDRESS(9, COLUMN(INDIRECT("'"&amp;A217&amp;"'!"&amp;C217))))))</f>
        <v/>
      </c>
      <c r="J217" t="s">
        <v>1686</v>
      </c>
      <c r="K217" t="s">
        <v>1687</v>
      </c>
    </row>
    <row r="218" spans="1:13" ht="15" customHeight="1">
      <c r="A218" s="154" t="s">
        <v>337</v>
      </c>
      <c r="B218" s="154" t="s">
        <v>82</v>
      </c>
      <c r="C218" t="s">
        <v>1550</v>
      </c>
      <c r="D218" s="154" t="s">
        <v>339</v>
      </c>
      <c r="E218" s="155" t="str" cm="1">
        <f t="array" aca="1" ref="E218" ca="1">IF(C218="", INDIRECT("'"&amp;A218&amp;"'!B3"), INDEX(INDIRECT("'"&amp;A218&amp;"'!5:5"), COLUMN(INDIRECT("'"&amp;A218&amp;"'!"&amp;C218))))</f>
        <v>Dedicated AML/CFT Staff (FTE)</v>
      </c>
      <c r="F218" s="155" cm="1">
        <f t="array" aca="1" ref="F218" ca="1">IF(C218="", "", INDEX(INDIRECT("'"&amp;A218&amp;"'!3:3"), COLUMN(INDIRECT("'"&amp;A218&amp;"'!"&amp;C218))))</f>
        <v>0</v>
      </c>
      <c r="G218" s="154" t="str" cm="1">
        <f t="array" aca="1" ref="G218" ca="1">IF(C218="", "", INDEX(INDIRECT("'"&amp;A218&amp;"'!8:8"), COLUMN(INDIRECT("'"&amp;A218&amp;"'!"&amp;C218))))</f>
        <v>Decimal</v>
      </c>
      <c r="H218" s="154" t="str" cm="1">
        <f t="array" aca="1" ref="H218" ca="1">IF(C218="","",T(INDIRECT("'"&amp;A218&amp;"'!"&amp;ADDRESS(7, COLUMN(INDIRECT("'"&amp;A218&amp;"'!"&amp;C218))))))</f>
        <v>Stock</v>
      </c>
      <c r="I218" s="154" t="str" cm="1">
        <f t="array" aca="1" ref="I218" ca="1">IF(C218="","",T(INDIRECT("'"&amp;A218&amp;"'!"&amp;ADDRESS(9, COLUMN(INDIRECT("'"&amp;A218&amp;"'!"&amp;C218))))))</f>
        <v/>
      </c>
      <c r="J218" t="s">
        <v>1688</v>
      </c>
      <c r="K218" t="s">
        <v>1689</v>
      </c>
    </row>
    <row r="219" spans="1:13" ht="15" customHeight="1">
      <c r="A219" s="154" t="s">
        <v>337</v>
      </c>
      <c r="B219" s="154" t="s">
        <v>83</v>
      </c>
      <c r="C219" t="s">
        <v>1551</v>
      </c>
      <c r="D219" s="154" t="s">
        <v>339</v>
      </c>
      <c r="E219" s="155" t="str" cm="1">
        <f t="array" aca="1" ref="E219" ca="1">IF(C219="", INDIRECT("'"&amp;A219&amp;"'!B3"), INDEX(INDIRECT("'"&amp;A219&amp;"'!5:5"), COLUMN(INDIRECT("'"&amp;A219&amp;"'!"&amp;C219))))</f>
        <v>AML Training - Compliance Staff (%)</v>
      </c>
      <c r="F219" s="155" cm="1">
        <f t="array" aca="1" ref="F219" ca="1">IF(C219="", "", INDEX(INDIRECT("'"&amp;A219&amp;"'!3:3"), COLUMN(INDIRECT("'"&amp;A219&amp;"'!"&amp;C219))))</f>
        <v>0</v>
      </c>
      <c r="G219" s="154" t="str" cm="1">
        <f t="array" aca="1" ref="G219" ca="1">IF(C219="", "", INDEX(INDIRECT("'"&amp;A219&amp;"'!8:8"), COLUMN(INDIRECT("'"&amp;A219&amp;"'!"&amp;C219))))</f>
        <v>Percentage</v>
      </c>
      <c r="H219" s="154" t="str" cm="1">
        <f t="array" aca="1" ref="H219" ca="1">IF(C219="","",T(INDIRECT("'"&amp;A219&amp;"'!"&amp;ADDRESS(7, COLUMN(INDIRECT("'"&amp;A219&amp;"'!"&amp;C219))))))</f>
        <v>flow</v>
      </c>
      <c r="I219" s="154" t="str" cm="1">
        <f t="array" aca="1" ref="I219" ca="1">IF(C219="","",T(INDIRECT("'"&amp;A219&amp;"'!"&amp;ADDRESS(9, COLUMN(INDIRECT("'"&amp;A219&amp;"'!"&amp;C219))))))</f>
        <v/>
      </c>
      <c r="J219" t="s">
        <v>1690</v>
      </c>
      <c r="K219" t="s">
        <v>1689</v>
      </c>
    </row>
    <row r="220" spans="1:13" ht="15" customHeight="1">
      <c r="A220" s="154" t="s">
        <v>337</v>
      </c>
      <c r="B220" s="154" t="s">
        <v>84</v>
      </c>
      <c r="C220" t="s">
        <v>1552</v>
      </c>
      <c r="D220" s="154" t="s">
        <v>339</v>
      </c>
      <c r="E220" s="155" t="str" cm="1">
        <f t="array" aca="1" ref="E220" ca="1">IF(C220="", INDIRECT("'"&amp;A220&amp;"'!B3"), INDEX(INDIRECT("'"&amp;A220&amp;"'!5:5"), COLUMN(INDIRECT("'"&amp;A220&amp;"'!"&amp;C220))))</f>
        <v>AML Training - Non-AML/CFT Compliance Personnel</v>
      </c>
      <c r="F220" s="155" cm="1">
        <f t="array" aca="1" ref="F220" ca="1">IF(C220="", "", INDEX(INDIRECT("'"&amp;A220&amp;"'!3:3"), COLUMN(INDIRECT("'"&amp;A220&amp;"'!"&amp;C220))))</f>
        <v>0</v>
      </c>
      <c r="G220" s="154" t="str" cm="1">
        <f t="array" aca="1" ref="G220" ca="1">IF(C220="", "", INDEX(INDIRECT("'"&amp;A220&amp;"'!8:8"), COLUMN(INDIRECT("'"&amp;A220&amp;"'!"&amp;C220))))</f>
        <v>Percentage</v>
      </c>
      <c r="H220" s="154" t="str" cm="1">
        <f t="array" aca="1" ref="H220" ca="1">IF(C220="","",T(INDIRECT("'"&amp;A220&amp;"'!"&amp;ADDRESS(7, COLUMN(INDIRECT("'"&amp;A220&amp;"'!"&amp;C220))))))</f>
        <v>flow</v>
      </c>
      <c r="I220" s="154" t="str" cm="1">
        <f t="array" aca="1" ref="I220" ca="1">IF(C220="","",T(INDIRECT("'"&amp;A220&amp;"'!"&amp;ADDRESS(9, COLUMN(INDIRECT("'"&amp;A220&amp;"'!"&amp;C220))))))</f>
        <v/>
      </c>
      <c r="J220" t="s">
        <v>1690</v>
      </c>
      <c r="K220" t="s">
        <v>1691</v>
      </c>
    </row>
    <row r="221" spans="1:13" ht="15" customHeight="1">
      <c r="A221" s="154" t="s">
        <v>337</v>
      </c>
      <c r="B221" s="154" t="s">
        <v>85</v>
      </c>
      <c r="C221" t="s">
        <v>1553</v>
      </c>
      <c r="D221" s="154" t="s">
        <v>339</v>
      </c>
      <c r="E221" s="155" t="str" cm="1">
        <f t="array" aca="1" ref="E221" ca="1">IF(C221="", INDIRECT("'"&amp;A221&amp;"'!B3"), INDEX(INDIRECT("'"&amp;A221&amp;"'!5:5"), COLUMN(INDIRECT("'"&amp;A221&amp;"'!"&amp;C221))))</f>
        <v>AML Training - Agents and Distributors (%)</v>
      </c>
      <c r="F221" s="155" cm="1">
        <f t="array" aca="1" ref="F221" ca="1">IF(C221="", "", INDEX(INDIRECT("'"&amp;A221&amp;"'!3:3"), COLUMN(INDIRECT("'"&amp;A221&amp;"'!"&amp;C221))))</f>
        <v>0</v>
      </c>
      <c r="G221" s="154" t="str" cm="1">
        <f t="array" aca="1" ref="G221" ca="1">IF(C221="", "", INDEX(INDIRECT("'"&amp;A221&amp;"'!8:8"), COLUMN(INDIRECT("'"&amp;A221&amp;"'!"&amp;C221))))</f>
        <v>Percentage</v>
      </c>
      <c r="H221" s="154" t="str" cm="1">
        <f t="array" aca="1" ref="H221" ca="1">IF(C221="","",T(INDIRECT("'"&amp;A221&amp;"'!"&amp;ADDRESS(7, COLUMN(INDIRECT("'"&amp;A221&amp;"'!"&amp;C221))))))</f>
        <v>flow</v>
      </c>
      <c r="I221" s="154" t="str" cm="1">
        <f t="array" aca="1" ref="I221" ca="1">IF(C221="","",T(INDIRECT("'"&amp;A221&amp;"'!"&amp;ADDRESS(9, COLUMN(INDIRECT("'"&amp;A221&amp;"'!"&amp;C221))))))</f>
        <v/>
      </c>
      <c r="J221" t="s">
        <v>1690</v>
      </c>
      <c r="K221" t="s">
        <v>1692</v>
      </c>
    </row>
    <row r="222" spans="1:13" ht="15" customHeight="1">
      <c r="A222" s="154" t="s">
        <v>337</v>
      </c>
      <c r="B222" s="154" t="s">
        <v>86</v>
      </c>
      <c r="C222" t="s">
        <v>1554</v>
      </c>
      <c r="D222" s="154" t="s">
        <v>339</v>
      </c>
      <c r="E222" s="155" t="str" cm="1">
        <f t="array" aca="1" ref="E222" ca="1">IF(C222="", INDIRECT("'"&amp;A222&amp;"'!B3"), INDEX(INDIRECT("'"&amp;A222&amp;"'!5:5"), COLUMN(INDIRECT("'"&amp;A222&amp;"'!"&amp;C222))))</f>
        <v>AML Training - Members of the management body (%)</v>
      </c>
      <c r="F222" s="155" cm="1">
        <f t="array" aca="1" ref="F222" ca="1">IF(C222="", "", INDEX(INDIRECT("'"&amp;A222&amp;"'!3:3"), COLUMN(INDIRECT("'"&amp;A222&amp;"'!"&amp;C222))))</f>
        <v>0</v>
      </c>
      <c r="G222" s="154" t="str" cm="1">
        <f t="array" aca="1" ref="G222" ca="1">IF(C222="", "", INDEX(INDIRECT("'"&amp;A222&amp;"'!8:8"), COLUMN(INDIRECT("'"&amp;A222&amp;"'!"&amp;C222))))</f>
        <v>Percentage</v>
      </c>
      <c r="H222" s="154" t="str" cm="1">
        <f t="array" aca="1" ref="H222" ca="1">IF(C222="","",T(INDIRECT("'"&amp;A222&amp;"'!"&amp;ADDRESS(7, COLUMN(INDIRECT("'"&amp;A222&amp;"'!"&amp;C222))))))</f>
        <v>flow</v>
      </c>
      <c r="I222" s="154" t="str" cm="1">
        <f t="array" aca="1" ref="I222" ca="1">IF(C222="","",T(INDIRECT("'"&amp;A222&amp;"'!"&amp;ADDRESS(9, COLUMN(INDIRECT("'"&amp;A222&amp;"'!"&amp;C222))))))</f>
        <v/>
      </c>
      <c r="J222" t="s">
        <v>1690</v>
      </c>
      <c r="K222" t="s">
        <v>1693</v>
      </c>
    </row>
    <row r="223" spans="1:13" ht="15" customHeight="1">
      <c r="A223" s="154" t="s">
        <v>349</v>
      </c>
      <c r="E223" s="155" cm="1">
        <f t="array" aca="1" ref="E223" ca="1">IF(C223="", INDIRECT("'"&amp;A223&amp;"'!B3"), INDEX(INDIRECT("'"&amp;A223&amp;"'!5:5"), COLUMN(INDIRECT("'"&amp;A223&amp;"'!"&amp;C223))))</f>
        <v>0</v>
      </c>
      <c r="F223" s="155" t="str" cm="1">
        <f t="array" aca="1" ref="F223" ca="1">IF(C223="", "", INDEX(INDIRECT("'"&amp;A223&amp;"'!3:3"), COLUMN(INDIRECT("'"&amp;A223&amp;"'!"&amp;C223))))</f>
        <v/>
      </c>
      <c r="G223" s="154" t="str" cm="1">
        <f t="array" aca="1" ref="G223" ca="1">IF(C223="", "", INDEX(INDIRECT("'"&amp;A223&amp;"'!8:8"), COLUMN(INDIRECT("'"&amp;A223&amp;"'!"&amp;C223))))</f>
        <v/>
      </c>
      <c r="H223" s="154" t="str" cm="1">
        <f t="array" aca="1" ref="H223" ca="1">IF(C223="","",T(INDIRECT("'"&amp;A223&amp;"'!"&amp;ADDRESS(7, COLUMN(INDIRECT("'"&amp;A223&amp;"'!"&amp;C223))))))</f>
        <v/>
      </c>
      <c r="I223" s="154" t="str" cm="1">
        <f t="array" aca="1" ref="I223" ca="1">IF(C223="","",T(INDIRECT("'"&amp;A223&amp;"'!"&amp;ADDRESS(9, COLUMN(INDIRECT("'"&amp;A223&amp;"'!"&amp;C223))))))</f>
        <v/>
      </c>
    </row>
    <row r="224" spans="1:13" ht="15" customHeight="1">
      <c r="A224" s="154" t="s">
        <v>349</v>
      </c>
      <c r="B224" s="154" t="s">
        <v>81</v>
      </c>
      <c r="C224" t="s">
        <v>1549</v>
      </c>
      <c r="D224" s="154" t="s">
        <v>351</v>
      </c>
      <c r="E224" s="155" t="str" cm="1">
        <f t="array" aca="1" ref="E224" ca="1">IF(C224="", INDIRECT("'"&amp;A224&amp;"'!B3"), INDEX(INDIRECT("'"&amp;A224&amp;"'!5:5"), COLUMN(INDIRECT("'"&amp;A224&amp;"'!"&amp;C224))))</f>
        <v>Frequency of AML reporting to the management body</v>
      </c>
      <c r="F224" s="155" cm="1">
        <f t="array" aca="1" ref="F224" ca="1">IF(C224="", "", INDEX(INDIRECT("'"&amp;A224&amp;"'!3:3"), COLUMN(INDIRECT("'"&amp;A224&amp;"'!"&amp;C224))))</f>
        <v>0</v>
      </c>
      <c r="G224" s="154" t="str" cm="1">
        <f t="array" aca="1" ref="G224" ca="1">IF(C224="", "", INDEX(INDIRECT("'"&amp;A224&amp;"'!8:8"), COLUMN(INDIRECT("'"&amp;A224&amp;"'!"&amp;C224))))</f>
        <v>LIST_AMLA_00009</v>
      </c>
      <c r="H224" s="154" t="str" cm="1">
        <f t="array" aca="1" ref="H224" ca="1">IF(C224="","",T(INDIRECT("'"&amp;A224&amp;"'!"&amp;ADDRESS(7, COLUMN(INDIRECT("'"&amp;A224&amp;"'!"&amp;C224))))))</f>
        <v/>
      </c>
      <c r="I224" s="154" t="str" cm="1">
        <f t="array" aca="1" ref="I224" ca="1">IF(C224="","",T(INDIRECT("'"&amp;A224&amp;"'!"&amp;ADDRESS(9, COLUMN(INDIRECT("'"&amp;A224&amp;"'!"&amp;C224))))))</f>
        <v/>
      </c>
      <c r="J224" t="s">
        <v>1694</v>
      </c>
      <c r="K224" t="s">
        <v>1695</v>
      </c>
      <c r="L224" t="s">
        <v>1696</v>
      </c>
    </row>
    <row r="225" spans="1:13" ht="15" customHeight="1">
      <c r="A225" s="154" t="s">
        <v>349</v>
      </c>
      <c r="B225" s="154" t="s">
        <v>82</v>
      </c>
      <c r="C225" t="s">
        <v>1550</v>
      </c>
      <c r="D225" s="154" t="s">
        <v>351</v>
      </c>
      <c r="E225" s="155" t="str" cm="1">
        <f t="array" aca="1" ref="E225" ca="1">IF(C225="", INDIRECT("'"&amp;A225&amp;"'!B3"), INDEX(INDIRECT("'"&amp;A225&amp;"'!5:5"), COLUMN(INDIRECT("'"&amp;A225&amp;"'!"&amp;C225))))</f>
        <v>Outsourcing - CDD</v>
      </c>
      <c r="F225" s="155" cm="1">
        <f t="array" aca="1" ref="F225" ca="1">IF(C225="", "", INDEX(INDIRECT("'"&amp;A225&amp;"'!3:3"), COLUMN(INDIRECT("'"&amp;A225&amp;"'!"&amp;C225))))</f>
        <v>0</v>
      </c>
      <c r="G225" s="154" t="str" cm="1">
        <f t="array" aca="1" ref="G225" ca="1">IF(C225="", "", INDEX(INDIRECT("'"&amp;A225&amp;"'!8:8"), COLUMN(INDIRECT("'"&amp;A225&amp;"'!"&amp;C225))))</f>
        <v>LIST_AMLA_00010</v>
      </c>
      <c r="H225" s="154" t="str" cm="1">
        <f t="array" aca="1" ref="H225" ca="1">IF(C225="","",T(INDIRECT("'"&amp;A225&amp;"'!"&amp;ADDRESS(7, COLUMN(INDIRECT("'"&amp;A225&amp;"'!"&amp;C225))))))</f>
        <v/>
      </c>
      <c r="I225" s="154" t="str" cm="1">
        <f t="array" aca="1" ref="I225" ca="1">IF(C225="","",T(INDIRECT("'"&amp;A225&amp;"'!"&amp;ADDRESS(9, COLUMN(INDIRECT("'"&amp;A225&amp;"'!"&amp;C225))))))</f>
        <v/>
      </c>
      <c r="J225" t="s">
        <v>1697</v>
      </c>
      <c r="K225" t="s">
        <v>1698</v>
      </c>
    </row>
    <row r="226" spans="1:13" ht="15" customHeight="1">
      <c r="A226" s="154" t="s">
        <v>349</v>
      </c>
      <c r="B226" s="154" t="s">
        <v>83</v>
      </c>
      <c r="C226" t="s">
        <v>1551</v>
      </c>
      <c r="D226" s="154" t="s">
        <v>351</v>
      </c>
      <c r="E226" s="155" t="str" cm="1">
        <f t="array" aca="1" ref="E226" ca="1">IF(C226="", INDIRECT("'"&amp;A226&amp;"'!B3"), INDEX(INDIRECT("'"&amp;A226&amp;"'!5:5"), COLUMN(INDIRECT("'"&amp;A226&amp;"'!"&amp;C226))))</f>
        <v>Outsourcing - Training</v>
      </c>
      <c r="F226" s="155" cm="1">
        <f t="array" aca="1" ref="F226" ca="1">IF(C226="", "", INDEX(INDIRECT("'"&amp;A226&amp;"'!3:3"), COLUMN(INDIRECT("'"&amp;A226&amp;"'!"&amp;C226))))</f>
        <v>0</v>
      </c>
      <c r="G226" s="154" t="str" cm="1">
        <f t="array" aca="1" ref="G226" ca="1">IF(C226="", "", INDEX(INDIRECT("'"&amp;A226&amp;"'!8:8"), COLUMN(INDIRECT("'"&amp;A226&amp;"'!"&amp;C226))))</f>
        <v>LIST_AMLA_00010</v>
      </c>
      <c r="H226" s="154" t="str" cm="1">
        <f t="array" aca="1" ref="H226" ca="1">IF(C226="","",T(INDIRECT("'"&amp;A226&amp;"'!"&amp;ADDRESS(7, COLUMN(INDIRECT("'"&amp;A226&amp;"'!"&amp;C226))))))</f>
        <v/>
      </c>
      <c r="I226" s="154" t="str" cm="1">
        <f t="array" aca="1" ref="I226" ca="1">IF(C226="","",T(INDIRECT("'"&amp;A226&amp;"'!"&amp;ADDRESS(9, COLUMN(INDIRECT("'"&amp;A226&amp;"'!"&amp;C226))))))</f>
        <v/>
      </c>
      <c r="J226" t="s">
        <v>1697</v>
      </c>
      <c r="K226" t="s">
        <v>1699</v>
      </c>
    </row>
    <row r="227" spans="1:13" ht="15" customHeight="1">
      <c r="A227" s="154" t="s">
        <v>349</v>
      </c>
      <c r="B227" s="154" t="s">
        <v>84</v>
      </c>
      <c r="C227" t="s">
        <v>1552</v>
      </c>
      <c r="D227" s="154" t="s">
        <v>351</v>
      </c>
      <c r="E227" s="155" t="str" cm="1">
        <f t="array" aca="1" ref="E227" ca="1">IF(C227="", INDIRECT("'"&amp;A227&amp;"'!B3"), INDEX(INDIRECT("'"&amp;A227&amp;"'!5:5"), COLUMN(INDIRECT("'"&amp;A227&amp;"'!"&amp;C227))))</f>
        <v>Outsourcing - Transaction Monitoring</v>
      </c>
      <c r="F227" s="155" cm="1">
        <f t="array" aca="1" ref="F227" ca="1">IF(C227="", "", INDEX(INDIRECT("'"&amp;A227&amp;"'!3:3"), COLUMN(INDIRECT("'"&amp;A227&amp;"'!"&amp;C227))))</f>
        <v>0</v>
      </c>
      <c r="G227" s="154" t="str" cm="1">
        <f t="array" aca="1" ref="G227" ca="1">IF(C227="", "", INDEX(INDIRECT("'"&amp;A227&amp;"'!8:8"), COLUMN(INDIRECT("'"&amp;A227&amp;"'!"&amp;C227))))</f>
        <v>LIST_AMLA_00010</v>
      </c>
      <c r="H227" s="154" t="str" cm="1">
        <f t="array" aca="1" ref="H227" ca="1">IF(C227="","",T(INDIRECT("'"&amp;A227&amp;"'!"&amp;ADDRESS(7, COLUMN(INDIRECT("'"&amp;A227&amp;"'!"&amp;C227))))))</f>
        <v/>
      </c>
      <c r="I227" s="154" t="str" cm="1">
        <f t="array" aca="1" ref="I227" ca="1">IF(C227="","",T(INDIRECT("'"&amp;A227&amp;"'!"&amp;ADDRESS(9, COLUMN(INDIRECT("'"&amp;A227&amp;"'!"&amp;C227))))))</f>
        <v/>
      </c>
      <c r="J227" t="s">
        <v>1697</v>
      </c>
      <c r="K227" t="s">
        <v>1700</v>
      </c>
    </row>
    <row r="228" spans="1:13" ht="15" customHeight="1">
      <c r="A228" s="154" t="s">
        <v>349</v>
      </c>
      <c r="B228" s="154" t="s">
        <v>85</v>
      </c>
      <c r="C228" t="s">
        <v>1553</v>
      </c>
      <c r="D228" s="154" t="s">
        <v>351</v>
      </c>
      <c r="E228" s="155" t="str" cm="1">
        <f t="array" aca="1" ref="E228" ca="1">IF(C228="", INDIRECT("'"&amp;A228&amp;"'!B3"), INDEX(INDIRECT("'"&amp;A228&amp;"'!5:5"), COLUMN(INDIRECT("'"&amp;A228&amp;"'!"&amp;C228))))</f>
        <v>Outsourcing - Suspicious Transaction or Activity Reports</v>
      </c>
      <c r="F228" s="155" cm="1">
        <f t="array" aca="1" ref="F228" ca="1">IF(C228="", "", INDEX(INDIRECT("'"&amp;A228&amp;"'!3:3"), COLUMN(INDIRECT("'"&amp;A228&amp;"'!"&amp;C228))))</f>
        <v>0</v>
      </c>
      <c r="G228" s="154" t="str" cm="1">
        <f t="array" aca="1" ref="G228" ca="1">IF(C228="", "", INDEX(INDIRECT("'"&amp;A228&amp;"'!8:8"), COLUMN(INDIRECT("'"&amp;A228&amp;"'!"&amp;C228))))</f>
        <v>LIST_AMLA_00010</v>
      </c>
      <c r="H228" s="154" t="str" cm="1">
        <f t="array" aca="1" ref="H228" ca="1">IF(C228="","",T(INDIRECT("'"&amp;A228&amp;"'!"&amp;ADDRESS(7, COLUMN(INDIRECT("'"&amp;A228&amp;"'!"&amp;C228))))))</f>
        <v/>
      </c>
      <c r="I228" s="154" t="str" cm="1">
        <f t="array" aca="1" ref="I228" ca="1">IF(C228="","",T(INDIRECT("'"&amp;A228&amp;"'!"&amp;ADDRESS(9, COLUMN(INDIRECT("'"&amp;A228&amp;"'!"&amp;C228))))))</f>
        <v/>
      </c>
      <c r="J228" t="s">
        <v>1697</v>
      </c>
      <c r="K228" t="s">
        <v>1701</v>
      </c>
    </row>
    <row r="229" spans="1:13" ht="15" customHeight="1">
      <c r="A229" s="154" t="s">
        <v>349</v>
      </c>
      <c r="B229" s="154" t="s">
        <v>86</v>
      </c>
      <c r="C229" t="s">
        <v>1554</v>
      </c>
      <c r="D229" s="154" t="s">
        <v>351</v>
      </c>
      <c r="E229" s="155" t="str" cm="1">
        <f t="array" aca="1" ref="E229" ca="1">IF(C229="", INDIRECT("'"&amp;A229&amp;"'!B3"), INDEX(INDIRECT("'"&amp;A229&amp;"'!5:5"), COLUMN(INDIRECT("'"&amp;A229&amp;"'!"&amp;C229))))</f>
        <v>Outsourcing - Sanctions Screening Tasks</v>
      </c>
      <c r="F229" s="155" cm="1">
        <f t="array" aca="1" ref="F229" ca="1">IF(C229="", "", INDEX(INDIRECT("'"&amp;A229&amp;"'!3:3"), COLUMN(INDIRECT("'"&amp;A229&amp;"'!"&amp;C229))))</f>
        <v>0</v>
      </c>
      <c r="G229" s="154" t="str" cm="1">
        <f t="array" aca="1" ref="G229" ca="1">IF(C229="", "", INDEX(INDIRECT("'"&amp;A229&amp;"'!8:8"), COLUMN(INDIRECT("'"&amp;A229&amp;"'!"&amp;C229))))</f>
        <v>LIST_AMLA_00010</v>
      </c>
      <c r="H229" s="154" t="str" cm="1">
        <f t="array" aca="1" ref="H229" ca="1">IF(C229="","",T(INDIRECT("'"&amp;A229&amp;"'!"&amp;ADDRESS(7, COLUMN(INDIRECT("'"&amp;A229&amp;"'!"&amp;C229))))))</f>
        <v/>
      </c>
      <c r="I229" s="154" t="str" cm="1">
        <f t="array" aca="1" ref="I229" ca="1">IF(C229="","",T(INDIRECT("'"&amp;A229&amp;"'!"&amp;ADDRESS(9, COLUMN(INDIRECT("'"&amp;A229&amp;"'!"&amp;C229))))))</f>
        <v/>
      </c>
      <c r="J229" t="s">
        <v>1697</v>
      </c>
      <c r="K229" t="s">
        <v>1702</v>
      </c>
    </row>
    <row r="230" spans="1:13" ht="15" customHeight="1">
      <c r="A230" s="154" t="s">
        <v>349</v>
      </c>
      <c r="B230" s="154" t="s">
        <v>87</v>
      </c>
      <c r="C230" t="s">
        <v>1555</v>
      </c>
      <c r="D230" s="154" t="s">
        <v>351</v>
      </c>
      <c r="E230" s="155" t="str" cm="1">
        <f t="array" aca="1" ref="E230" ca="1">IF(C230="", INDIRECT("'"&amp;A230&amp;"'!B3"), INDEX(INDIRECT("'"&amp;A230&amp;"'!5:5"), COLUMN(INDIRECT("'"&amp;A230&amp;"'!"&amp;C230))))</f>
        <v>Outsourcing - PEP status</v>
      </c>
      <c r="F230" s="155" cm="1">
        <f t="array" aca="1" ref="F230" ca="1">IF(C230="", "", INDEX(INDIRECT("'"&amp;A230&amp;"'!3:3"), COLUMN(INDIRECT("'"&amp;A230&amp;"'!"&amp;C230))))</f>
        <v>0</v>
      </c>
      <c r="G230" s="154" t="str" cm="1">
        <f t="array" aca="1" ref="G230" ca="1">IF(C230="", "", INDEX(INDIRECT("'"&amp;A230&amp;"'!8:8"), COLUMN(INDIRECT("'"&amp;A230&amp;"'!"&amp;C230))))</f>
        <v>LIST_AMLA_00010</v>
      </c>
      <c r="H230" s="154" t="str" cm="1">
        <f t="array" aca="1" ref="H230" ca="1">IF(C230="","",T(INDIRECT("'"&amp;A230&amp;"'!"&amp;ADDRESS(7, COLUMN(INDIRECT("'"&amp;A230&amp;"'!"&amp;C230))))))</f>
        <v/>
      </c>
      <c r="I230" s="154" t="str" cm="1">
        <f t="array" aca="1" ref="I230" ca="1">IF(C230="","",T(INDIRECT("'"&amp;A230&amp;"'!"&amp;ADDRESS(9, COLUMN(INDIRECT("'"&amp;A230&amp;"'!"&amp;C230))))))</f>
        <v/>
      </c>
      <c r="J230" t="s">
        <v>1697</v>
      </c>
      <c r="K230" t="s">
        <v>1703</v>
      </c>
    </row>
    <row r="231" spans="1:13" ht="15" customHeight="1">
      <c r="A231" s="154" t="s">
        <v>349</v>
      </c>
      <c r="B231" s="154" t="s">
        <v>88</v>
      </c>
      <c r="C231" t="s">
        <v>1556</v>
      </c>
      <c r="D231" s="154" t="s">
        <v>351</v>
      </c>
      <c r="E231" s="155" t="str" cm="1">
        <f t="array" aca="1" ref="E231" ca="1">IF(C231="", INDIRECT("'"&amp;A231&amp;"'!B3"), INDEX(INDIRECT("'"&amp;A231&amp;"'!5:5"), COLUMN(INDIRECT("'"&amp;A231&amp;"'!"&amp;C231))))</f>
        <v>Outsourcing - Compliance Monitoring Checks</v>
      </c>
      <c r="F231" s="155" cm="1">
        <f t="array" aca="1" ref="F231" ca="1">IF(C231="", "", INDEX(INDIRECT("'"&amp;A231&amp;"'!3:3"), COLUMN(INDIRECT("'"&amp;A231&amp;"'!"&amp;C231))))</f>
        <v>0</v>
      </c>
      <c r="G231" s="154" t="str" cm="1">
        <f t="array" aca="1" ref="G231" ca="1">IF(C231="", "", INDEX(INDIRECT("'"&amp;A231&amp;"'!8:8"), COLUMN(INDIRECT("'"&amp;A231&amp;"'!"&amp;C231))))</f>
        <v>LIST_AMLA_00010</v>
      </c>
      <c r="H231" s="154" t="str" cm="1">
        <f t="array" aca="1" ref="H231" ca="1">IF(C231="","",T(INDIRECT("'"&amp;A231&amp;"'!"&amp;ADDRESS(7, COLUMN(INDIRECT("'"&amp;A231&amp;"'!"&amp;C231))))))</f>
        <v/>
      </c>
      <c r="I231" s="154" t="str" cm="1">
        <f t="array" aca="1" ref="I231" ca="1">IF(C231="","",T(INDIRECT("'"&amp;A231&amp;"'!"&amp;ADDRESS(9, COLUMN(INDIRECT("'"&amp;A231&amp;"'!"&amp;C231))))))</f>
        <v/>
      </c>
      <c r="J231" t="s">
        <v>1697</v>
      </c>
      <c r="K231" t="s">
        <v>1704</v>
      </c>
    </row>
    <row r="232" spans="1:13" ht="15" customHeight="1">
      <c r="A232" s="154" t="s">
        <v>349</v>
      </c>
      <c r="B232" s="154" t="s">
        <v>89</v>
      </c>
      <c r="C232" t="s">
        <v>1557</v>
      </c>
      <c r="D232" s="154" t="s">
        <v>351</v>
      </c>
      <c r="E232" s="155" t="str" cm="1">
        <f t="array" aca="1" ref="E232" ca="1">IF(C232="", INDIRECT("'"&amp;A232&amp;"'!B3"), INDEX(INDIRECT("'"&amp;A232&amp;"'!5:5"), COLUMN(INDIRECT("'"&amp;A232&amp;"'!"&amp;C232))))</f>
        <v>Outsourcing - Third Country (Non-group)</v>
      </c>
      <c r="F232" s="155" cm="1">
        <f t="array" aca="1" ref="F232" ca="1">IF(C232="", "", INDEX(INDIRECT("'"&amp;A232&amp;"'!3:3"), COLUMN(INDIRECT("'"&amp;A232&amp;"'!"&amp;C232))))</f>
        <v>0</v>
      </c>
      <c r="G232" s="154" t="str" cm="1">
        <f t="array" aca="1" ref="G232" ca="1">IF(C232="", "", INDEX(INDIRECT("'"&amp;A232&amp;"'!8:8"), COLUMN(INDIRECT("'"&amp;A232&amp;"'!"&amp;C232))))</f>
        <v>LIST_AMLA_00006</v>
      </c>
      <c r="H232" s="154" t="str" cm="1">
        <f t="array" aca="1" ref="H232" ca="1">IF(C232="","",T(INDIRECT("'"&amp;A232&amp;"'!"&amp;ADDRESS(7, COLUMN(INDIRECT("'"&amp;A232&amp;"'!"&amp;C232))))))</f>
        <v/>
      </c>
      <c r="I232" s="154" t="str" cm="1">
        <f t="array" aca="1" ref="I232" ca="1">IF(C232="","",T(INDIRECT("'"&amp;A232&amp;"'!"&amp;ADDRESS(9, COLUMN(INDIRECT("'"&amp;A232&amp;"'!"&amp;C232))))))</f>
        <v/>
      </c>
      <c r="J232" t="s">
        <v>1697</v>
      </c>
      <c r="K232" t="s">
        <v>1705</v>
      </c>
      <c r="L232" t="s">
        <v>1706</v>
      </c>
      <c r="M232" t="s">
        <v>1707</v>
      </c>
    </row>
    <row r="233" spans="1:13" ht="15" customHeight="1">
      <c r="A233" s="154" t="s">
        <v>349</v>
      </c>
      <c r="B233" s="154" t="s">
        <v>90</v>
      </c>
      <c r="C233" t="s">
        <v>1558</v>
      </c>
      <c r="D233" s="154" t="s">
        <v>351</v>
      </c>
      <c r="E233" s="155" t="str" cm="1">
        <f t="array" aca="1" ref="E233" ca="1">IF(C233="", INDIRECT("'"&amp;A233&amp;"'!B3"), INDEX(INDIRECT("'"&amp;A233&amp;"'!5:5"), COLUMN(INDIRECT("'"&amp;A233&amp;"'!"&amp;C233))))</f>
        <v>Outsourcing - Third Country (Intra-group)</v>
      </c>
      <c r="F233" s="155" cm="1">
        <f t="array" aca="1" ref="F233" ca="1">IF(C233="", "", INDEX(INDIRECT("'"&amp;A233&amp;"'!3:3"), COLUMN(INDIRECT("'"&amp;A233&amp;"'!"&amp;C233))))</f>
        <v>0</v>
      </c>
      <c r="G233" s="154" t="str" cm="1">
        <f t="array" aca="1" ref="G233" ca="1">IF(C233="", "", INDEX(INDIRECT("'"&amp;A233&amp;"'!8:8"), COLUMN(INDIRECT("'"&amp;A233&amp;"'!"&amp;C233))))</f>
        <v>LIST_AMLA_00006</v>
      </c>
      <c r="H233" s="154" t="str" cm="1">
        <f t="array" aca="1" ref="H233" ca="1">IF(C233="","",T(INDIRECT("'"&amp;A233&amp;"'!"&amp;ADDRESS(7, COLUMN(INDIRECT("'"&amp;A233&amp;"'!"&amp;C233))))))</f>
        <v/>
      </c>
      <c r="I233" s="154" t="str" cm="1">
        <f t="array" aca="1" ref="I233" ca="1">IF(C233="","",T(INDIRECT("'"&amp;A233&amp;"'!"&amp;ADDRESS(9, COLUMN(INDIRECT("'"&amp;A233&amp;"'!"&amp;C233))))))</f>
        <v/>
      </c>
      <c r="J233" t="s">
        <v>1697</v>
      </c>
      <c r="K233" t="s">
        <v>1705</v>
      </c>
      <c r="L233" t="s">
        <v>1706</v>
      </c>
      <c r="M233" t="s">
        <v>1708</v>
      </c>
    </row>
    <row r="234" spans="1:13" ht="15" customHeight="1">
      <c r="A234" s="154" t="s">
        <v>349</v>
      </c>
      <c r="B234" s="154" t="s">
        <v>91</v>
      </c>
      <c r="C234" t="s">
        <v>1559</v>
      </c>
      <c r="D234" s="154" t="s">
        <v>351</v>
      </c>
      <c r="E234" s="155" t="str" cm="1">
        <f t="array" aca="1" ref="E234" ca="1">IF(C234="", INDIRECT("'"&amp;A234&amp;"'!B3"), INDEX(INDIRECT("'"&amp;A234&amp;"'!5:5"), COLUMN(INDIRECT("'"&amp;A234&amp;"'!"&amp;C234))))</f>
        <v>Last Audit - BWRA</v>
      </c>
      <c r="F234" s="155" cm="1">
        <f t="array" aca="1" ref="F234" ca="1">IF(C234="", "", INDEX(INDIRECT("'"&amp;A234&amp;"'!3:3"), COLUMN(INDIRECT("'"&amp;A234&amp;"'!"&amp;C234))))</f>
        <v>0</v>
      </c>
      <c r="G234" s="154" t="str" cm="1">
        <f t="array" aca="1" ref="G234" ca="1">IF(C234="", "", INDEX(INDIRECT("'"&amp;A234&amp;"'!8:8"), COLUMN(INDIRECT("'"&amp;A234&amp;"'!"&amp;C234))))</f>
        <v>Date</v>
      </c>
      <c r="H234" s="154" t="str" cm="1">
        <f t="array" aca="1" ref="H234" ca="1">IF(C234="","",T(INDIRECT("'"&amp;A234&amp;"'!"&amp;ADDRESS(7, COLUMN(INDIRECT("'"&amp;A234&amp;"'!"&amp;C234))))))</f>
        <v/>
      </c>
      <c r="I234" s="154" t="str" cm="1">
        <f t="array" aca="1" ref="I234" ca="1">IF(C234="","",T(INDIRECT("'"&amp;A234&amp;"'!"&amp;ADDRESS(9, COLUMN(INDIRECT("'"&amp;A234&amp;"'!"&amp;C234))))))</f>
        <v/>
      </c>
      <c r="J234" t="s">
        <v>1709</v>
      </c>
      <c r="K234" t="s">
        <v>1710</v>
      </c>
    </row>
    <row r="235" spans="1:13" ht="15" customHeight="1">
      <c r="A235" s="154" t="s">
        <v>349</v>
      </c>
      <c r="B235" s="154" t="s">
        <v>92</v>
      </c>
      <c r="C235" t="s">
        <v>1560</v>
      </c>
      <c r="D235" s="154" t="s">
        <v>351</v>
      </c>
      <c r="E235" s="155" t="str" cm="1">
        <f t="array" aca="1" ref="E235" ca="1">IF(C235="", INDIRECT("'"&amp;A235&amp;"'!B3"), INDEX(INDIRECT("'"&amp;A235&amp;"'!5:5"), COLUMN(INDIRECT("'"&amp;A235&amp;"'!"&amp;C235))))</f>
        <v>Last Audit - Customers ML/TF Risk Profile</v>
      </c>
      <c r="F235" s="155" cm="1">
        <f t="array" aca="1" ref="F235" ca="1">IF(C235="", "", INDEX(INDIRECT("'"&amp;A235&amp;"'!3:3"), COLUMN(INDIRECT("'"&amp;A235&amp;"'!"&amp;C235))))</f>
        <v>0</v>
      </c>
      <c r="G235" s="154" t="str" cm="1">
        <f t="array" aca="1" ref="G235" ca="1">IF(C235="", "", INDEX(INDIRECT("'"&amp;A235&amp;"'!8:8"), COLUMN(INDIRECT("'"&amp;A235&amp;"'!"&amp;C235))))</f>
        <v>Date</v>
      </c>
      <c r="H235" s="154" t="str" cm="1">
        <f t="array" aca="1" ref="H235" ca="1">IF(C235="","",T(INDIRECT("'"&amp;A235&amp;"'!"&amp;ADDRESS(7, COLUMN(INDIRECT("'"&amp;A235&amp;"'!"&amp;C235))))))</f>
        <v/>
      </c>
      <c r="I235" s="154" t="str" cm="1">
        <f t="array" aca="1" ref="I235" ca="1">IF(C235="","",T(INDIRECT("'"&amp;A235&amp;"'!"&amp;ADDRESS(9, COLUMN(INDIRECT("'"&amp;A235&amp;"'!"&amp;C235))))))</f>
        <v/>
      </c>
      <c r="J235" t="s">
        <v>1709</v>
      </c>
      <c r="K235" t="s">
        <v>1711</v>
      </c>
    </row>
    <row r="236" spans="1:13" ht="15" customHeight="1">
      <c r="A236" s="154" t="s">
        <v>349</v>
      </c>
      <c r="B236" s="154" t="s">
        <v>93</v>
      </c>
      <c r="C236" t="s">
        <v>1561</v>
      </c>
      <c r="D236" s="154" t="s">
        <v>351</v>
      </c>
      <c r="E236" s="155" t="str" cm="1">
        <f t="array" aca="1" ref="E236" ca="1">IF(C236="", INDIRECT("'"&amp;A236&amp;"'!B3"), INDEX(INDIRECT("'"&amp;A236&amp;"'!5:5"), COLUMN(INDIRECT("'"&amp;A236&amp;"'!"&amp;C236))))</f>
        <v>Last Audit – Assessment AML/CFT Training measures</v>
      </c>
      <c r="F236" s="155" cm="1">
        <f t="array" aca="1" ref="F236" ca="1">IF(C236="", "", INDEX(INDIRECT("'"&amp;A236&amp;"'!3:3"), COLUMN(INDIRECT("'"&amp;A236&amp;"'!"&amp;C236))))</f>
        <v>0</v>
      </c>
      <c r="G236" s="154" t="str" cm="1">
        <f t="array" aca="1" ref="G236" ca="1">IF(C236="", "", INDEX(INDIRECT("'"&amp;A236&amp;"'!8:8"), COLUMN(INDIRECT("'"&amp;A236&amp;"'!"&amp;C236))))</f>
        <v>Date</v>
      </c>
      <c r="H236" s="154" t="str" cm="1">
        <f t="array" aca="1" ref="H236" ca="1">IF(C236="","",T(INDIRECT("'"&amp;A236&amp;"'!"&amp;ADDRESS(7, COLUMN(INDIRECT("'"&amp;A236&amp;"'!"&amp;C236))))))</f>
        <v/>
      </c>
      <c r="I236" s="154" t="str" cm="1">
        <f t="array" aca="1" ref="I236" ca="1">IF(C236="","",T(INDIRECT("'"&amp;A236&amp;"'!"&amp;ADDRESS(9, COLUMN(INDIRECT("'"&amp;A236&amp;"'!"&amp;C236))))))</f>
        <v/>
      </c>
      <c r="J236" t="s">
        <v>1709</v>
      </c>
      <c r="K236" t="s">
        <v>1712</v>
      </c>
    </row>
    <row r="237" spans="1:13" ht="15" customHeight="1">
      <c r="A237" s="154" t="s">
        <v>349</v>
      </c>
      <c r="B237" s="154" t="s">
        <v>94</v>
      </c>
      <c r="C237" t="s">
        <v>1562</v>
      </c>
      <c r="D237" s="154" t="s">
        <v>351</v>
      </c>
      <c r="E237" s="155" t="str" cm="1">
        <f t="array" aca="1" ref="E237" ca="1">IF(C237="", INDIRECT("'"&amp;A237&amp;"'!B3"), INDEX(INDIRECT("'"&amp;A237&amp;"'!5:5"), COLUMN(INDIRECT("'"&amp;A237&amp;"'!"&amp;C237))))</f>
        <v>Last Audit - Identification and Verification Procedures</v>
      </c>
      <c r="F237" s="155" cm="1">
        <f t="array" aca="1" ref="F237" ca="1">IF(C237="", "", INDEX(INDIRECT("'"&amp;A237&amp;"'!3:3"), COLUMN(INDIRECT("'"&amp;A237&amp;"'!"&amp;C237))))</f>
        <v>0</v>
      </c>
      <c r="G237" s="154" t="str" cm="1">
        <f t="array" aca="1" ref="G237" ca="1">IF(C237="", "", INDEX(INDIRECT("'"&amp;A237&amp;"'!8:8"), COLUMN(INDIRECT("'"&amp;A237&amp;"'!"&amp;C237))))</f>
        <v>Date</v>
      </c>
      <c r="H237" s="154" t="str" cm="1">
        <f t="array" aca="1" ref="H237" ca="1">IF(C237="","",T(INDIRECT("'"&amp;A237&amp;"'!"&amp;ADDRESS(7, COLUMN(INDIRECT("'"&amp;A237&amp;"'!"&amp;C237))))))</f>
        <v/>
      </c>
      <c r="I237" s="154" t="str" cm="1">
        <f t="array" aca="1" ref="I237" ca="1">IF(C237="","",T(INDIRECT("'"&amp;A237&amp;"'!"&amp;ADDRESS(9, COLUMN(INDIRECT("'"&amp;A237&amp;"'!"&amp;C237))))))</f>
        <v/>
      </c>
      <c r="J237" t="s">
        <v>1709</v>
      </c>
      <c r="K237" t="s">
        <v>1713</v>
      </c>
    </row>
    <row r="238" spans="1:13" ht="15" customHeight="1">
      <c r="A238" s="154" t="s">
        <v>349</v>
      </c>
      <c r="B238" s="154" t="s">
        <v>95</v>
      </c>
      <c r="C238" t="s">
        <v>1563</v>
      </c>
      <c r="D238" s="154" t="s">
        <v>351</v>
      </c>
      <c r="E238" s="155" t="str" cm="1">
        <f t="array" aca="1" ref="E238" ca="1">IF(C238="", INDIRECT("'"&amp;A238&amp;"'!B3"), INDEX(INDIRECT("'"&amp;A238&amp;"'!5:5"), COLUMN(INDIRECT("'"&amp;A238&amp;"'!"&amp;C238))))</f>
        <v>Last Audit - Policies and Procedures for Monitoring and Analysing Business Relationships</v>
      </c>
      <c r="F238" s="155" cm="1">
        <f t="array" aca="1" ref="F238" ca="1">IF(C238="", "", INDEX(INDIRECT("'"&amp;A238&amp;"'!3:3"), COLUMN(INDIRECT("'"&amp;A238&amp;"'!"&amp;C238))))</f>
        <v>0</v>
      </c>
      <c r="G238" s="154" t="str" cm="1">
        <f t="array" aca="1" ref="G238" ca="1">IF(C238="", "", INDEX(INDIRECT("'"&amp;A238&amp;"'!8:8"), COLUMN(INDIRECT("'"&amp;A238&amp;"'!"&amp;C238))))</f>
        <v>Date</v>
      </c>
      <c r="H238" s="154" t="str" cm="1">
        <f t="array" aca="1" ref="H238" ca="1">IF(C238="","",T(INDIRECT("'"&amp;A238&amp;"'!"&amp;ADDRESS(7, COLUMN(INDIRECT("'"&amp;A238&amp;"'!"&amp;C238))))))</f>
        <v/>
      </c>
      <c r="I238" s="154" t="str" cm="1">
        <f t="array" aca="1" ref="I238" ca="1">IF(C238="","",T(INDIRECT("'"&amp;A238&amp;"'!"&amp;ADDRESS(9, COLUMN(INDIRECT("'"&amp;A238&amp;"'!"&amp;C238))))))</f>
        <v/>
      </c>
      <c r="J238" t="s">
        <v>1709</v>
      </c>
      <c r="K238" t="s">
        <v>1714</v>
      </c>
    </row>
    <row r="239" spans="1:13" ht="15" customHeight="1">
      <c r="A239" s="154" t="s">
        <v>349</v>
      </c>
      <c r="B239" s="154" t="s">
        <v>96</v>
      </c>
      <c r="C239" t="s">
        <v>1564</v>
      </c>
      <c r="D239" s="154" t="s">
        <v>351</v>
      </c>
      <c r="E239" s="155" t="str" cm="1">
        <f t="array" aca="1" ref="E239" ca="1">IF(C239="", INDIRECT("'"&amp;A239&amp;"'!B3"), INDEX(INDIRECT("'"&amp;A239&amp;"'!5:5"), COLUMN(INDIRECT("'"&amp;A239&amp;"'!"&amp;C239))))</f>
        <v>Last Audit - Suspicious Transaction or Activity Reporting Procedures</v>
      </c>
      <c r="F239" s="155" cm="1">
        <f t="array" aca="1" ref="F239" ca="1">IF(C239="", "", INDEX(INDIRECT("'"&amp;A239&amp;"'!3:3"), COLUMN(INDIRECT("'"&amp;A239&amp;"'!"&amp;C239))))</f>
        <v>0</v>
      </c>
      <c r="G239" s="154" t="str" cm="1">
        <f t="array" aca="1" ref="G239" ca="1">IF(C239="", "", INDEX(INDIRECT("'"&amp;A239&amp;"'!8:8"), COLUMN(INDIRECT("'"&amp;A239&amp;"'!"&amp;C239))))</f>
        <v>Date</v>
      </c>
      <c r="H239" s="154" t="str" cm="1">
        <f t="array" aca="1" ref="H239" ca="1">IF(C239="","",T(INDIRECT("'"&amp;A239&amp;"'!"&amp;ADDRESS(7, COLUMN(INDIRECT("'"&amp;A239&amp;"'!"&amp;C239))))))</f>
        <v/>
      </c>
      <c r="I239" s="154" t="str" cm="1">
        <f t="array" aca="1" ref="I239" ca="1">IF(C239="","",T(INDIRECT("'"&amp;A239&amp;"'!"&amp;ADDRESS(9, COLUMN(INDIRECT("'"&amp;A239&amp;"'!"&amp;C239))))))</f>
        <v/>
      </c>
      <c r="J239" t="s">
        <v>1709</v>
      </c>
      <c r="K239" t="s">
        <v>1715</v>
      </c>
    </row>
    <row r="240" spans="1:13" ht="15" customHeight="1">
      <c r="A240" s="154" t="s">
        <v>349</v>
      </c>
      <c r="B240" s="154" t="s">
        <v>97</v>
      </c>
      <c r="C240" t="s">
        <v>1565</v>
      </c>
      <c r="D240" s="154" t="s">
        <v>351</v>
      </c>
      <c r="E240" s="155" t="str" cm="1">
        <f t="array" aca="1" ref="E240" ca="1">IF(C240="", INDIRECT("'"&amp;A240&amp;"'!B3"), INDEX(INDIRECT("'"&amp;A240&amp;"'!5:5"), COLUMN(INDIRECT("'"&amp;A240&amp;"'!"&amp;C240))))</f>
        <v>Last Audit - Record-keeping Policies and Procedures</v>
      </c>
      <c r="F240" s="155" cm="1">
        <f t="array" aca="1" ref="F240" ca="1">IF(C240="", "", INDEX(INDIRECT("'"&amp;A240&amp;"'!3:3"), COLUMN(INDIRECT("'"&amp;A240&amp;"'!"&amp;C240))))</f>
        <v>0</v>
      </c>
      <c r="G240" s="154" t="str" cm="1">
        <f t="array" aca="1" ref="G240" ca="1">IF(C240="", "", INDEX(INDIRECT("'"&amp;A240&amp;"'!8:8"), COLUMN(INDIRECT("'"&amp;A240&amp;"'!"&amp;C240))))</f>
        <v>Date</v>
      </c>
      <c r="H240" s="154" t="str" cm="1">
        <f t="array" aca="1" ref="H240" ca="1">IF(C240="","",T(INDIRECT("'"&amp;A240&amp;"'!"&amp;ADDRESS(7, COLUMN(INDIRECT("'"&amp;A240&amp;"'!"&amp;C240))))))</f>
        <v/>
      </c>
      <c r="I240" s="154" t="str" cm="1">
        <f t="array" aca="1" ref="I240" ca="1">IF(C240="","",T(INDIRECT("'"&amp;A240&amp;"'!"&amp;ADDRESS(9, COLUMN(INDIRECT("'"&amp;A240&amp;"'!"&amp;C240))))))</f>
        <v/>
      </c>
      <c r="J240" t="s">
        <v>1709</v>
      </c>
      <c r="K240" t="s">
        <v>1716</v>
      </c>
    </row>
    <row r="241" spans="1:12" ht="15" customHeight="1">
      <c r="A241" s="154" t="s">
        <v>349</v>
      </c>
      <c r="B241" s="154" t="s">
        <v>98</v>
      </c>
      <c r="C241" t="s">
        <v>1566</v>
      </c>
      <c r="D241" s="154" t="s">
        <v>351</v>
      </c>
      <c r="E241" s="155" t="str" cm="1">
        <f t="array" aca="1" ref="E241" ca="1">IF(C241="", INDIRECT("'"&amp;A241&amp;"'!B3"), INDEX(INDIRECT("'"&amp;A241&amp;"'!5:5"), COLUMN(INDIRECT("'"&amp;A241&amp;"'!"&amp;C241))))</f>
        <v>Last Audit - Resources dedicated to AML/CFT</v>
      </c>
      <c r="F241" s="155" cm="1">
        <f t="array" aca="1" ref="F241" ca="1">IF(C241="", "", INDEX(INDIRECT("'"&amp;A241&amp;"'!3:3"), COLUMN(INDIRECT("'"&amp;A241&amp;"'!"&amp;C241))))</f>
        <v>0</v>
      </c>
      <c r="G241" s="154" t="str" cm="1">
        <f t="array" aca="1" ref="G241" ca="1">IF(C241="", "", INDEX(INDIRECT("'"&amp;A241&amp;"'!8:8"), COLUMN(INDIRECT("'"&amp;A241&amp;"'!"&amp;C241))))</f>
        <v>Date</v>
      </c>
      <c r="H241" s="154" t="str" cm="1">
        <f t="array" aca="1" ref="H241" ca="1">IF(C241="","",T(INDIRECT("'"&amp;A241&amp;"'!"&amp;ADDRESS(7, COLUMN(INDIRECT("'"&amp;A241&amp;"'!"&amp;C241))))))</f>
        <v/>
      </c>
      <c r="I241" s="154" t="str" cm="1">
        <f t="array" aca="1" ref="I241" ca="1">IF(C241="","",T(INDIRECT("'"&amp;A241&amp;"'!"&amp;ADDRESS(9, COLUMN(INDIRECT("'"&amp;A241&amp;"'!"&amp;C241))))))</f>
        <v/>
      </c>
      <c r="J241" t="s">
        <v>1709</v>
      </c>
      <c r="K241" t="s">
        <v>1717</v>
      </c>
    </row>
    <row r="242" spans="1:12" ht="15" customHeight="1">
      <c r="A242" s="154" t="s">
        <v>349</v>
      </c>
      <c r="B242" s="154" t="s">
        <v>99</v>
      </c>
      <c r="C242" t="s">
        <v>1567</v>
      </c>
      <c r="D242" s="154" t="s">
        <v>351</v>
      </c>
      <c r="E242" s="155" t="str" cm="1">
        <f t="array" aca="1" ref="E242" ca="1">IF(C242="", INDIRECT("'"&amp;A242&amp;"'!B3"), INDEX(INDIRECT("'"&amp;A242&amp;"'!5:5"), COLUMN(INDIRECT("'"&amp;A242&amp;"'!"&amp;C242))))</f>
        <v>Last Audit - Organisation of the AML/CFT System, Governance and Reporting Arrangements</v>
      </c>
      <c r="F242" s="155" cm="1">
        <f t="array" aca="1" ref="F242" ca="1">IF(C242="", "", INDEX(INDIRECT("'"&amp;A242&amp;"'!3:3"), COLUMN(INDIRECT("'"&amp;A242&amp;"'!"&amp;C242))))</f>
        <v>0</v>
      </c>
      <c r="G242" s="154" t="str" cm="1">
        <f t="array" aca="1" ref="G242" ca="1">IF(C242="", "", INDEX(INDIRECT("'"&amp;A242&amp;"'!8:8"), COLUMN(INDIRECT("'"&amp;A242&amp;"'!"&amp;C242))))</f>
        <v>Date</v>
      </c>
      <c r="H242" s="154" t="str" cm="1">
        <f t="array" aca="1" ref="H242" ca="1">IF(C242="","",T(INDIRECT("'"&amp;A242&amp;"'!"&amp;ADDRESS(7, COLUMN(INDIRECT("'"&amp;A242&amp;"'!"&amp;C242))))))</f>
        <v/>
      </c>
      <c r="I242" s="154" t="str" cm="1">
        <f t="array" aca="1" ref="I242" ca="1">IF(C242="","",T(INDIRECT("'"&amp;A242&amp;"'!"&amp;ADDRESS(9, COLUMN(INDIRECT("'"&amp;A242&amp;"'!"&amp;C242))))))</f>
        <v/>
      </c>
      <c r="J242" t="s">
        <v>1709</v>
      </c>
      <c r="K242" t="s">
        <v>1718</v>
      </c>
    </row>
    <row r="243" spans="1:12" ht="15" customHeight="1">
      <c r="A243" s="154" t="s">
        <v>373</v>
      </c>
      <c r="E243" s="155" cm="1">
        <f t="array" aca="1" ref="E243" ca="1">IF(C243="", INDIRECT("'"&amp;A243&amp;"'!B3"), INDEX(INDIRECT("'"&amp;A243&amp;"'!5:5"), COLUMN(INDIRECT("'"&amp;A243&amp;"'!"&amp;C243))))</f>
        <v>0</v>
      </c>
      <c r="F243" s="155" t="str" cm="1">
        <f t="array" aca="1" ref="F243" ca="1">IF(C243="", "", INDEX(INDIRECT("'"&amp;A243&amp;"'!3:3"), COLUMN(INDIRECT("'"&amp;A243&amp;"'!"&amp;C243))))</f>
        <v/>
      </c>
      <c r="G243" s="154" t="str" cm="1">
        <f t="array" aca="1" ref="G243" ca="1">IF(C243="", "", INDEX(INDIRECT("'"&amp;A243&amp;"'!8:8"), COLUMN(INDIRECT("'"&amp;A243&amp;"'!"&amp;C243))))</f>
        <v/>
      </c>
      <c r="H243" s="154" t="str" cm="1">
        <f t="array" aca="1" ref="H243" ca="1">IF(C243="","",T(INDIRECT("'"&amp;A243&amp;"'!"&amp;ADDRESS(7, COLUMN(INDIRECT("'"&amp;A243&amp;"'!"&amp;C243))))))</f>
        <v/>
      </c>
      <c r="I243" s="154" t="str" cm="1">
        <f t="array" aca="1" ref="I243" ca="1">IF(C243="","",T(INDIRECT("'"&amp;A243&amp;"'!"&amp;ADDRESS(9, COLUMN(INDIRECT("'"&amp;A243&amp;"'!"&amp;C243))))))</f>
        <v/>
      </c>
    </row>
    <row r="244" spans="1:12" ht="15" customHeight="1">
      <c r="A244" s="154" t="s">
        <v>373</v>
      </c>
      <c r="B244" s="154" t="s">
        <v>81</v>
      </c>
      <c r="C244" t="s">
        <v>1549</v>
      </c>
      <c r="D244" s="154" t="s">
        <v>375</v>
      </c>
      <c r="E244" s="155" t="str" cm="1">
        <f t="array" aca="1" ref="E244" ca="1">IF(C244="", INDIRECT("'"&amp;A244&amp;"'!B3"), INDEX(INDIRECT("'"&amp;A244&amp;"'!5:5"), COLUMN(INDIRECT("'"&amp;A244&amp;"'!"&amp;C244))))</f>
        <v>Last approval date of the BWRA</v>
      </c>
      <c r="F244" s="155" cm="1">
        <f t="array" aca="1" ref="F244" ca="1">IF(C244="", "", INDEX(INDIRECT("'"&amp;A244&amp;"'!3:3"), COLUMN(INDIRECT("'"&amp;A244&amp;"'!"&amp;C244))))</f>
        <v>0</v>
      </c>
      <c r="G244" s="154" t="str" cm="1">
        <f t="array" aca="1" ref="G244" ca="1">IF(C244="", "", INDEX(INDIRECT("'"&amp;A244&amp;"'!8:8"), COLUMN(INDIRECT("'"&amp;A244&amp;"'!"&amp;C244))))</f>
        <v>Date</v>
      </c>
      <c r="H244" s="154" t="str" cm="1">
        <f t="array" aca="1" ref="H244" ca="1">IF(C244="","",T(INDIRECT("'"&amp;A244&amp;"'!"&amp;ADDRESS(7, COLUMN(INDIRECT("'"&amp;A244&amp;"'!"&amp;C244))))))</f>
        <v/>
      </c>
      <c r="I244" s="154" t="str" cm="1">
        <f t="array" aca="1" ref="I244" ca="1">IF(C244="","",T(INDIRECT("'"&amp;A244&amp;"'!"&amp;ADDRESS(9, COLUMN(INDIRECT("'"&amp;A244&amp;"'!"&amp;C244))))))</f>
        <v/>
      </c>
      <c r="J244" t="s">
        <v>1719</v>
      </c>
      <c r="K244" t="s">
        <v>1710</v>
      </c>
    </row>
    <row r="245" spans="1:12" ht="15" customHeight="1">
      <c r="A245" s="154" t="s">
        <v>373</v>
      </c>
      <c r="B245" s="154" t="s">
        <v>82</v>
      </c>
      <c r="C245" t="s">
        <v>1550</v>
      </c>
      <c r="D245" s="154" t="s">
        <v>375</v>
      </c>
      <c r="E245" s="155" t="str" cm="1">
        <f t="array" aca="1" ref="E245" ca="1">IF(C245="", INDIRECT("'"&amp;A245&amp;"'!B3"), INDEX(INDIRECT("'"&amp;A245&amp;"'!5:5"), COLUMN(INDIRECT("'"&amp;A245&amp;"'!"&amp;C245))))</f>
        <v>Senior Management Approval (BWRA)</v>
      </c>
      <c r="F245" s="155" cm="1">
        <f t="array" aca="1" ref="F245" ca="1">IF(C245="", "", INDEX(INDIRECT("'"&amp;A245&amp;"'!3:3"), COLUMN(INDIRECT("'"&amp;A245&amp;"'!"&amp;C245))))</f>
        <v>0</v>
      </c>
      <c r="G245" s="154" t="str" cm="1">
        <f t="array" aca="1" ref="G245" ca="1">IF(C245="", "", INDEX(INDIRECT("'"&amp;A245&amp;"'!8:8"), COLUMN(INDIRECT("'"&amp;A245&amp;"'!"&amp;C245))))</f>
        <v>LIST_AMLA_00006</v>
      </c>
      <c r="H245" s="154" t="str" cm="1">
        <f t="array" aca="1" ref="H245" ca="1">IF(C245="","",T(INDIRECT("'"&amp;A245&amp;"'!"&amp;ADDRESS(7, COLUMN(INDIRECT("'"&amp;A245&amp;"'!"&amp;C245))))))</f>
        <v/>
      </c>
      <c r="I245" s="154" t="str" cm="1">
        <f t="array" aca="1" ref="I245" ca="1">IF(C245="","",T(INDIRECT("'"&amp;A245&amp;"'!"&amp;ADDRESS(9, COLUMN(INDIRECT("'"&amp;A245&amp;"'!"&amp;C245))))))</f>
        <v/>
      </c>
      <c r="J245" t="s">
        <v>1720</v>
      </c>
      <c r="K245" t="s">
        <v>1721</v>
      </c>
      <c r="L245" t="s">
        <v>1710</v>
      </c>
    </row>
    <row r="246" spans="1:12" ht="15" customHeight="1">
      <c r="A246" s="154" t="s">
        <v>373</v>
      </c>
      <c r="B246" s="154" t="s">
        <v>83</v>
      </c>
      <c r="C246" t="s">
        <v>1551</v>
      </c>
      <c r="D246" s="154" t="s">
        <v>375</v>
      </c>
      <c r="E246" s="155" t="str" cm="1">
        <f t="array" aca="1" ref="E246" ca="1">IF(C246="", INDIRECT("'"&amp;A246&amp;"'!B3"), INDEX(INDIRECT("'"&amp;A246&amp;"'!5:5"), COLUMN(INDIRECT("'"&amp;A246&amp;"'!"&amp;C246))))</f>
        <v>Date of the last update of the CRA</v>
      </c>
      <c r="F246" s="155" cm="1">
        <f t="array" aca="1" ref="F246" ca="1">IF(C246="", "", INDEX(INDIRECT("'"&amp;A246&amp;"'!3:3"), COLUMN(INDIRECT("'"&amp;A246&amp;"'!"&amp;C246))))</f>
        <v>0</v>
      </c>
      <c r="G246" s="154" t="str" cm="1">
        <f t="array" aca="1" ref="G246" ca="1">IF(C246="", "", INDEX(INDIRECT("'"&amp;A246&amp;"'!8:8"), COLUMN(INDIRECT("'"&amp;A246&amp;"'!"&amp;C246))))</f>
        <v>Date</v>
      </c>
      <c r="H246" s="154" t="str" cm="1">
        <f t="array" aca="1" ref="H246" ca="1">IF(C246="","",T(INDIRECT("'"&amp;A246&amp;"'!"&amp;ADDRESS(7, COLUMN(INDIRECT("'"&amp;A246&amp;"'!"&amp;C246))))))</f>
        <v/>
      </c>
      <c r="I246" s="154" t="str" cm="1">
        <f t="array" aca="1" ref="I246" ca="1">IF(C246="","",T(INDIRECT("'"&amp;A246&amp;"'!"&amp;ADDRESS(9, COLUMN(INDIRECT("'"&amp;A246&amp;"'!"&amp;C246))))))</f>
        <v/>
      </c>
      <c r="J246" t="s">
        <v>1722</v>
      </c>
      <c r="K246" t="s">
        <v>1723</v>
      </c>
    </row>
    <row r="247" spans="1:12" ht="15" customHeight="1">
      <c r="A247" s="154" t="s">
        <v>373</v>
      </c>
      <c r="B247" s="154" t="s">
        <v>84</v>
      </c>
      <c r="C247" t="s">
        <v>1552</v>
      </c>
      <c r="D247" s="154" t="s">
        <v>375</v>
      </c>
      <c r="E247" s="155" t="str" cm="1">
        <f t="array" aca="1" ref="E247" ca="1">IF(C247="", INDIRECT("'"&amp;A247&amp;"'!B3"), INDEX(INDIRECT("'"&amp;A247&amp;"'!5:5"), COLUMN(INDIRECT("'"&amp;A247&amp;"'!"&amp;C247))))</f>
        <v>Customers - Low Risk</v>
      </c>
      <c r="F247" s="155" cm="1">
        <f t="array" aca="1" ref="F247" ca="1">IF(C247="", "", INDEX(INDIRECT("'"&amp;A247&amp;"'!3:3"), COLUMN(INDIRECT("'"&amp;A247&amp;"'!"&amp;C247))))</f>
        <v>0</v>
      </c>
      <c r="G247" s="154" t="str" cm="1">
        <f t="array" aca="1" ref="G247" ca="1">IF(C247="", "", INDEX(INDIRECT("'"&amp;A247&amp;"'!8:8"), COLUMN(INDIRECT("'"&amp;A247&amp;"'!"&amp;C247))))</f>
        <v>Integer</v>
      </c>
      <c r="H247" s="154" t="str" cm="1">
        <f t="array" aca="1" ref="H247" ca="1">IF(C247="","",T(INDIRECT("'"&amp;A247&amp;"'!"&amp;ADDRESS(7, COLUMN(INDIRECT("'"&amp;A247&amp;"'!"&amp;C247))))))</f>
        <v>Stock</v>
      </c>
      <c r="I247" s="154" t="str" cm="1">
        <f t="array" aca="1" ref="I247" ca="1">IF(C247="","",T(INDIRECT("'"&amp;A247&amp;"'!"&amp;ADDRESS(9, COLUMN(INDIRECT("'"&amp;A247&amp;"'!"&amp;C247))))))</f>
        <v/>
      </c>
      <c r="J247" t="s">
        <v>1578</v>
      </c>
      <c r="K247" t="s">
        <v>1724</v>
      </c>
    </row>
    <row r="248" spans="1:12" ht="15" customHeight="1">
      <c r="A248" s="154" t="s">
        <v>373</v>
      </c>
      <c r="B248" s="154" t="s">
        <v>85</v>
      </c>
      <c r="C248" t="s">
        <v>1553</v>
      </c>
      <c r="D248" s="154" t="s">
        <v>375</v>
      </c>
      <c r="E248" s="155" t="str" cm="1">
        <f t="array" aca="1" ref="E248" ca="1">IF(C248="", INDIRECT("'"&amp;A248&amp;"'!B3"), INDEX(INDIRECT("'"&amp;A248&amp;"'!5:5"), COLUMN(INDIRECT("'"&amp;A248&amp;"'!"&amp;C248))))</f>
        <v>Customers - Medium-low Risk</v>
      </c>
      <c r="F248" s="155" cm="1">
        <f t="array" aca="1" ref="F248" ca="1">IF(C248="", "", INDEX(INDIRECT("'"&amp;A248&amp;"'!3:3"), COLUMN(INDIRECT("'"&amp;A248&amp;"'!"&amp;C248))))</f>
        <v>0</v>
      </c>
      <c r="G248" s="154" t="str" cm="1">
        <f t="array" aca="1" ref="G248" ca="1">IF(C248="", "", INDEX(INDIRECT("'"&amp;A248&amp;"'!8:8"), COLUMN(INDIRECT("'"&amp;A248&amp;"'!"&amp;C248))))</f>
        <v>Integer</v>
      </c>
      <c r="H248" s="154" t="str" cm="1">
        <f t="array" aca="1" ref="H248" ca="1">IF(C248="","",T(INDIRECT("'"&amp;A248&amp;"'!"&amp;ADDRESS(7, COLUMN(INDIRECT("'"&amp;A248&amp;"'!"&amp;C248))))))</f>
        <v>Stock</v>
      </c>
      <c r="I248" s="154" t="str" cm="1">
        <f t="array" aca="1" ref="I248" ca="1">IF(C248="","",T(INDIRECT("'"&amp;A248&amp;"'!"&amp;ADDRESS(9, COLUMN(INDIRECT("'"&amp;A248&amp;"'!"&amp;C248))))))</f>
        <v/>
      </c>
      <c r="J248" t="s">
        <v>1578</v>
      </c>
      <c r="K248" t="s">
        <v>1725</v>
      </c>
    </row>
    <row r="249" spans="1:12" ht="15" customHeight="1">
      <c r="A249" s="154" t="s">
        <v>373</v>
      </c>
      <c r="B249" s="154" t="s">
        <v>86</v>
      </c>
      <c r="C249" t="s">
        <v>1554</v>
      </c>
      <c r="D249" s="154" t="s">
        <v>375</v>
      </c>
      <c r="E249" s="155" t="str" cm="1">
        <f t="array" aca="1" ref="E249" ca="1">IF(C249="", INDIRECT("'"&amp;A249&amp;"'!B3"), INDEX(INDIRECT("'"&amp;A249&amp;"'!5:5"), COLUMN(INDIRECT("'"&amp;A249&amp;"'!"&amp;C249))))</f>
        <v>Customers - Medium-high Risk</v>
      </c>
      <c r="F249" s="155" cm="1">
        <f t="array" aca="1" ref="F249" ca="1">IF(C249="", "", INDEX(INDIRECT("'"&amp;A249&amp;"'!3:3"), COLUMN(INDIRECT("'"&amp;A249&amp;"'!"&amp;C249))))</f>
        <v>0</v>
      </c>
      <c r="G249" s="154" t="str" cm="1">
        <f t="array" aca="1" ref="G249" ca="1">IF(C249="", "", INDEX(INDIRECT("'"&amp;A249&amp;"'!8:8"), COLUMN(INDIRECT("'"&amp;A249&amp;"'!"&amp;C249))))</f>
        <v>Integer</v>
      </c>
      <c r="H249" s="154" t="str" cm="1">
        <f t="array" aca="1" ref="H249" ca="1">IF(C249="","",T(INDIRECT("'"&amp;A249&amp;"'!"&amp;ADDRESS(7, COLUMN(INDIRECT("'"&amp;A249&amp;"'!"&amp;C249))))))</f>
        <v>Stock</v>
      </c>
      <c r="I249" s="154" t="str" cm="1">
        <f t="array" aca="1" ref="I249" ca="1">IF(C249="","",T(INDIRECT("'"&amp;A249&amp;"'!"&amp;ADDRESS(9, COLUMN(INDIRECT("'"&amp;A249&amp;"'!"&amp;C249))))))</f>
        <v/>
      </c>
      <c r="J249" t="s">
        <v>1578</v>
      </c>
      <c r="K249" t="s">
        <v>1726</v>
      </c>
    </row>
    <row r="250" spans="1:12" ht="15" customHeight="1">
      <c r="A250" s="154" t="s">
        <v>373</v>
      </c>
      <c r="B250" s="154" t="s">
        <v>87</v>
      </c>
      <c r="C250" t="s">
        <v>1555</v>
      </c>
      <c r="D250" s="154" t="s">
        <v>375</v>
      </c>
      <c r="E250" s="155" t="str" cm="1">
        <f t="array" aca="1" ref="E250" ca="1">IF(C250="", INDIRECT("'"&amp;A250&amp;"'!B3"), INDEX(INDIRECT("'"&amp;A250&amp;"'!5:5"), COLUMN(INDIRECT("'"&amp;A250&amp;"'!"&amp;C250))))</f>
        <v>Customers - High Risk</v>
      </c>
      <c r="F250" s="155" cm="1">
        <f t="array" aca="1" ref="F250" ca="1">IF(C250="", "", INDEX(INDIRECT("'"&amp;A250&amp;"'!3:3"), COLUMN(INDIRECT("'"&amp;A250&amp;"'!"&amp;C250))))</f>
        <v>0</v>
      </c>
      <c r="G250" s="154" t="str" cm="1">
        <f t="array" aca="1" ref="G250" ca="1">IF(C250="", "", INDEX(INDIRECT("'"&amp;A250&amp;"'!8:8"), COLUMN(INDIRECT("'"&amp;A250&amp;"'!"&amp;C250))))</f>
        <v>Integer</v>
      </c>
      <c r="H250" s="154" t="str" cm="1">
        <f t="array" aca="1" ref="H250" ca="1">IF(C250="","",T(INDIRECT("'"&amp;A250&amp;"'!"&amp;ADDRESS(7, COLUMN(INDIRECT("'"&amp;A250&amp;"'!"&amp;C250))))))</f>
        <v>Stock</v>
      </c>
      <c r="I250" s="154" t="str" cm="1">
        <f t="array" aca="1" ref="I250" ca="1">IF(C250="","",T(INDIRECT("'"&amp;A250&amp;"'!"&amp;ADDRESS(9, COLUMN(INDIRECT("'"&amp;A250&amp;"'!"&amp;C250))))))</f>
        <v/>
      </c>
      <c r="J250" t="s">
        <v>1578</v>
      </c>
      <c r="K250" t="s">
        <v>1727</v>
      </c>
    </row>
    <row r="251" spans="1:12" ht="15" customHeight="1">
      <c r="A251" s="154" t="s">
        <v>384</v>
      </c>
      <c r="E251" s="155" cm="1">
        <f t="array" aca="1" ref="E251" ca="1">IF(C251="", INDIRECT("'"&amp;A251&amp;"'!B3"), INDEX(INDIRECT("'"&amp;A251&amp;"'!5:5"), COLUMN(INDIRECT("'"&amp;A251&amp;"'!"&amp;C251))))</f>
        <v>0</v>
      </c>
      <c r="F251" s="155" t="str" cm="1">
        <f t="array" aca="1" ref="F251" ca="1">IF(C251="", "", INDEX(INDIRECT("'"&amp;A251&amp;"'!3:3"), COLUMN(INDIRECT("'"&amp;A251&amp;"'!"&amp;C251))))</f>
        <v/>
      </c>
      <c r="G251" s="154" t="str" cm="1">
        <f t="array" aca="1" ref="G251" ca="1">IF(C251="", "", INDEX(INDIRECT("'"&amp;A251&amp;"'!8:8"), COLUMN(INDIRECT("'"&amp;A251&amp;"'!"&amp;C251))))</f>
        <v/>
      </c>
      <c r="H251" s="154" t="str" cm="1">
        <f t="array" aca="1" ref="H251" ca="1">IF(C251="","",T(INDIRECT("'"&amp;A251&amp;"'!"&amp;ADDRESS(7, COLUMN(INDIRECT("'"&amp;A251&amp;"'!"&amp;C251))))))</f>
        <v/>
      </c>
      <c r="I251" s="154" t="str" cm="1">
        <f t="array" aca="1" ref="I251" ca="1">IF(C251="","",T(INDIRECT("'"&amp;A251&amp;"'!"&amp;ADDRESS(9, COLUMN(INDIRECT("'"&amp;A251&amp;"'!"&amp;C251))))))</f>
        <v/>
      </c>
    </row>
    <row r="252" spans="1:12" ht="15" customHeight="1">
      <c r="A252" s="154" t="s">
        <v>384</v>
      </c>
      <c r="B252" s="154" t="s">
        <v>81</v>
      </c>
      <c r="C252" t="s">
        <v>1549</v>
      </c>
      <c r="D252" s="154" t="s">
        <v>385</v>
      </c>
      <c r="E252" s="155" t="str" cm="1">
        <f t="array" aca="1" ref="E252" ca="1">IF(C252="", INDIRECT("'"&amp;A252&amp;"'!B3"), INDEX(INDIRECT("'"&amp;A252&amp;"'!5:5"), COLUMN(INDIRECT("'"&amp;A252&amp;"'!"&amp;C252))))</f>
        <v>Customers – LE/Trusts with BO Not Identified</v>
      </c>
      <c r="F252" s="155" cm="1">
        <f t="array" aca="1" ref="F252" ca="1">IF(C252="", "", INDEX(INDIRECT("'"&amp;A252&amp;"'!3:3"), COLUMN(INDIRECT("'"&amp;A252&amp;"'!"&amp;C252))))</f>
        <v>0</v>
      </c>
      <c r="G252" s="154" t="str" cm="1">
        <f t="array" aca="1" ref="G252" ca="1">IF(C252="", "", INDEX(INDIRECT("'"&amp;A252&amp;"'!8:8"), COLUMN(INDIRECT("'"&amp;A252&amp;"'!"&amp;C252))))</f>
        <v>Integer</v>
      </c>
      <c r="H252" s="154" t="str" cm="1">
        <f t="array" aca="1" ref="H252" ca="1">IF(C252="","",T(INDIRECT("'"&amp;A252&amp;"'!"&amp;ADDRESS(7, COLUMN(INDIRECT("'"&amp;A252&amp;"'!"&amp;C252))))))</f>
        <v>Stock</v>
      </c>
      <c r="I252" s="154" t="str" cm="1">
        <f t="array" aca="1" ref="I252" ca="1">IF(C252="","",T(INDIRECT("'"&amp;A252&amp;"'!"&amp;ADDRESS(9, COLUMN(INDIRECT("'"&amp;A252&amp;"'!"&amp;C252))))))</f>
        <v/>
      </c>
      <c r="J252" t="s">
        <v>1578</v>
      </c>
      <c r="K252" t="s">
        <v>1728</v>
      </c>
    </row>
    <row r="253" spans="1:12" ht="15" customHeight="1">
      <c r="A253" s="154" t="s">
        <v>384</v>
      </c>
      <c r="B253" s="154" t="s">
        <v>82</v>
      </c>
      <c r="C253" t="s">
        <v>1550</v>
      </c>
      <c r="D253" s="154" t="s">
        <v>385</v>
      </c>
      <c r="E253" s="155" t="str" cm="1">
        <f t="array" aca="1" ref="E253" ca="1">IF(C253="", INDIRECT("'"&amp;A253&amp;"'!B3"), INDEX(INDIRECT("'"&amp;A253&amp;"'!5:5"), COLUMN(INDIRECT("'"&amp;A253&amp;"'!"&amp;C253))))</f>
        <v>Customers – LE/Trusts With BO Identified Not Verified</v>
      </c>
      <c r="F253" s="155" cm="1">
        <f t="array" aca="1" ref="F253" ca="1">IF(C253="", "", INDEX(INDIRECT("'"&amp;A253&amp;"'!3:3"), COLUMN(INDIRECT("'"&amp;A253&amp;"'!"&amp;C253))))</f>
        <v>0</v>
      </c>
      <c r="G253" s="154" t="str" cm="1">
        <f t="array" aca="1" ref="G253" ca="1">IF(C253="", "", INDEX(INDIRECT("'"&amp;A253&amp;"'!8:8"), COLUMN(INDIRECT("'"&amp;A253&amp;"'!"&amp;C253))))</f>
        <v>Integer</v>
      </c>
      <c r="H253" s="154" t="str" cm="1">
        <f t="array" aca="1" ref="H253" ca="1">IF(C253="","",T(INDIRECT("'"&amp;A253&amp;"'!"&amp;ADDRESS(7, COLUMN(INDIRECT("'"&amp;A253&amp;"'!"&amp;C253))))))</f>
        <v>Stock</v>
      </c>
      <c r="I253" s="154" t="str" cm="1">
        <f t="array" aca="1" ref="I253" ca="1">IF(C253="","",T(INDIRECT("'"&amp;A253&amp;"'!"&amp;ADDRESS(9, COLUMN(INDIRECT("'"&amp;A253&amp;"'!"&amp;C253))))))</f>
        <v/>
      </c>
      <c r="J253" t="s">
        <v>1578</v>
      </c>
      <c r="K253" t="s">
        <v>1728</v>
      </c>
    </row>
    <row r="254" spans="1:12" ht="15" customHeight="1">
      <c r="A254" s="154" t="s">
        <v>384</v>
      </c>
      <c r="B254" s="154" t="s">
        <v>83</v>
      </c>
      <c r="C254" t="s">
        <v>1551</v>
      </c>
      <c r="D254" s="154" t="s">
        <v>385</v>
      </c>
      <c r="E254" s="155" t="str" cm="1">
        <f t="array" aca="1" ref="E254" ca="1">IF(C254="", INDIRECT("'"&amp;A254&amp;"'!B3"), INDEX(INDIRECT("'"&amp;A254&amp;"'!5:5"), COLUMN(INDIRECT("'"&amp;A254&amp;"'!"&amp;C254))))</f>
        <v>Customers – Missing ID/Verification Documentation</v>
      </c>
      <c r="F254" s="155" cm="1">
        <f t="array" aca="1" ref="F254" ca="1">IF(C254="", "", INDEX(INDIRECT("'"&amp;A254&amp;"'!3:3"), COLUMN(INDIRECT("'"&amp;A254&amp;"'!"&amp;C254))))</f>
        <v>0</v>
      </c>
      <c r="G254" s="154" t="str" cm="1">
        <f t="array" aca="1" ref="G254" ca="1">IF(C254="", "", INDEX(INDIRECT("'"&amp;A254&amp;"'!8:8"), COLUMN(INDIRECT("'"&amp;A254&amp;"'!"&amp;C254))))</f>
        <v>Integer</v>
      </c>
      <c r="H254" s="154" t="str" cm="1">
        <f t="array" aca="1" ref="H254" ca="1">IF(C254="","",T(INDIRECT("'"&amp;A254&amp;"'!"&amp;ADDRESS(7, COLUMN(INDIRECT("'"&amp;A254&amp;"'!"&amp;C254))))))</f>
        <v>Stock</v>
      </c>
      <c r="I254" s="154" t="str" cm="1">
        <f t="array" aca="1" ref="I254" ca="1">IF(C254="","",T(INDIRECT("'"&amp;A254&amp;"'!"&amp;ADDRESS(9, COLUMN(INDIRECT("'"&amp;A254&amp;"'!"&amp;C254))))))</f>
        <v/>
      </c>
      <c r="J254" t="s">
        <v>1578</v>
      </c>
    </row>
    <row r="255" spans="1:12" ht="15" customHeight="1">
      <c r="A255" s="154" t="s">
        <v>384</v>
      </c>
      <c r="B255" s="154" t="s">
        <v>84</v>
      </c>
      <c r="C255" t="s">
        <v>1552</v>
      </c>
      <c r="D255" s="154" t="s">
        <v>385</v>
      </c>
      <c r="E255" s="155" t="str" cm="1">
        <f t="array" aca="1" ref="E255" ca="1">IF(C255="", INDIRECT("'"&amp;A255&amp;"'!B3"), INDEX(INDIRECT("'"&amp;A255&amp;"'!5:5"), COLUMN(INDIRECT("'"&amp;A255&amp;"'!"&amp;C255))))</f>
        <v>Customers – CDD Not Compliant with Article 20 AMLR</v>
      </c>
      <c r="F255" s="155" cm="1">
        <f t="array" aca="1" ref="F255" ca="1">IF(C255="", "", INDEX(INDIRECT("'"&amp;A255&amp;"'!3:3"), COLUMN(INDIRECT("'"&amp;A255&amp;"'!"&amp;C255))))</f>
        <v>0</v>
      </c>
      <c r="G255" s="154" t="str" cm="1">
        <f t="array" aca="1" ref="G255" ca="1">IF(C255="", "", INDEX(INDIRECT("'"&amp;A255&amp;"'!8:8"), COLUMN(INDIRECT("'"&amp;A255&amp;"'!"&amp;C255))))</f>
        <v>Integer</v>
      </c>
      <c r="H255" s="154" t="str" cm="1">
        <f t="array" aca="1" ref="H255" ca="1">IF(C255="","",T(INDIRECT("'"&amp;A255&amp;"'!"&amp;ADDRESS(7, COLUMN(INDIRECT("'"&amp;A255&amp;"'!"&amp;C255))))))</f>
        <v>Stock</v>
      </c>
      <c r="I255" s="154" t="str" cm="1">
        <f t="array" aca="1" ref="I255" ca="1">IF(C255="","",T(INDIRECT("'"&amp;A255&amp;"'!"&amp;ADDRESS(9, COLUMN(INDIRECT("'"&amp;A255&amp;"'!"&amp;C255))))))</f>
        <v/>
      </c>
      <c r="J255" t="s">
        <v>1578</v>
      </c>
    </row>
    <row r="256" spans="1:12" ht="15" customHeight="1">
      <c r="A256" s="154" t="s">
        <v>384</v>
      </c>
      <c r="B256" s="154" t="s">
        <v>85</v>
      </c>
      <c r="C256" t="s">
        <v>1553</v>
      </c>
      <c r="D256" s="154" t="s">
        <v>385</v>
      </c>
      <c r="E256" s="155" t="str" cm="1">
        <f t="array" aca="1" ref="E256" ca="1">IF(C256="", INDIRECT("'"&amp;A256&amp;"'!B3"), INDEX(INDIRECT("'"&amp;A256&amp;"'!5:5"), COLUMN(INDIRECT("'"&amp;A256&amp;"'!"&amp;C256))))</f>
        <v>Customers – Without ML/TF Risk Profile</v>
      </c>
      <c r="F256" s="155" cm="1">
        <f t="array" aca="1" ref="F256" ca="1">IF(C256="", "", INDEX(INDIRECT("'"&amp;A256&amp;"'!3:3"), COLUMN(INDIRECT("'"&amp;A256&amp;"'!"&amp;C256))))</f>
        <v>0</v>
      </c>
      <c r="G256" s="154" t="str" cm="1">
        <f t="array" aca="1" ref="G256" ca="1">IF(C256="", "", INDEX(INDIRECT("'"&amp;A256&amp;"'!8:8"), COLUMN(INDIRECT("'"&amp;A256&amp;"'!"&amp;C256))))</f>
        <v>Integer</v>
      </c>
      <c r="H256" s="154" t="str" cm="1">
        <f t="array" aca="1" ref="H256" ca="1">IF(C256="","",T(INDIRECT("'"&amp;A256&amp;"'!"&amp;ADDRESS(7, COLUMN(INDIRECT("'"&amp;A256&amp;"'!"&amp;C256))))))</f>
        <v>Stock</v>
      </c>
      <c r="I256" s="154" t="str" cm="1">
        <f t="array" aca="1" ref="I256" ca="1">IF(C256="","",T(INDIRECT("'"&amp;A256&amp;"'!"&amp;ADDRESS(9, COLUMN(INDIRECT("'"&amp;A256&amp;"'!"&amp;C256))))))</f>
        <v/>
      </c>
      <c r="J256" t="s">
        <v>1578</v>
      </c>
    </row>
    <row r="257" spans="1:12" ht="15" customHeight="1">
      <c r="A257" s="154" t="s">
        <v>384</v>
      </c>
      <c r="B257" s="154" t="s">
        <v>86</v>
      </c>
      <c r="C257" t="s">
        <v>1554</v>
      </c>
      <c r="D257" s="154" t="s">
        <v>385</v>
      </c>
      <c r="E257" s="155" t="str" cm="1">
        <f t="array" aca="1" ref="E257" ca="1">IF(C257="", INDIRECT("'"&amp;A257&amp;"'!B3"), INDEX(INDIRECT("'"&amp;A257&amp;"'!5:5"), COLUMN(INDIRECT("'"&amp;A257&amp;"'!"&amp;C257))))</f>
        <v>Customers – Information Reviews Due</v>
      </c>
      <c r="F257" s="155" cm="1">
        <f t="array" aca="1" ref="F257" ca="1">IF(C257="", "", INDEX(INDIRECT("'"&amp;A257&amp;"'!3:3"), COLUMN(INDIRECT("'"&amp;A257&amp;"'!"&amp;C257))))</f>
        <v>0</v>
      </c>
      <c r="G257" s="154" t="str" cm="1">
        <f t="array" aca="1" ref="G257" ca="1">IF(C257="", "", INDEX(INDIRECT("'"&amp;A257&amp;"'!8:8"), COLUMN(INDIRECT("'"&amp;A257&amp;"'!"&amp;C257))))</f>
        <v>Integer</v>
      </c>
      <c r="H257" s="154" t="str" cm="1">
        <f t="array" aca="1" ref="H257" ca="1">IF(C257="","",T(INDIRECT("'"&amp;A257&amp;"'!"&amp;ADDRESS(7, COLUMN(INDIRECT("'"&amp;A257&amp;"'!"&amp;C257))))))</f>
        <v>Flow</v>
      </c>
      <c r="I257" s="154" t="str" cm="1">
        <f t="array" aca="1" ref="I257" ca="1">IF(C257="","",T(INDIRECT("'"&amp;A257&amp;"'!"&amp;ADDRESS(9, COLUMN(INDIRECT("'"&amp;A257&amp;"'!"&amp;C257))))))</f>
        <v/>
      </c>
      <c r="J257" t="s">
        <v>1578</v>
      </c>
    </row>
    <row r="258" spans="1:12" ht="15" customHeight="1">
      <c r="A258" s="154" t="s">
        <v>384</v>
      </c>
      <c r="B258" s="154" t="s">
        <v>87</v>
      </c>
      <c r="C258" t="s">
        <v>1555</v>
      </c>
      <c r="D258" s="154" t="s">
        <v>385</v>
      </c>
      <c r="E258" s="155" t="str" cm="1">
        <f t="array" aca="1" ref="E258" ca="1">IF(C258="", INDIRECT("'"&amp;A258&amp;"'!B3"), INDEX(INDIRECT("'"&amp;A258&amp;"'!5:5"), COLUMN(INDIRECT("'"&amp;A258&amp;"'!"&amp;C258))))</f>
        <v>Customers – Information Updates Completed</v>
      </c>
      <c r="F258" s="155" cm="1">
        <f t="array" aca="1" ref="F258" ca="1">IF(C258="", "", INDEX(INDIRECT("'"&amp;A258&amp;"'!3:3"), COLUMN(INDIRECT("'"&amp;A258&amp;"'!"&amp;C258))))</f>
        <v>0</v>
      </c>
      <c r="G258" s="154" t="str" cm="1">
        <f t="array" aca="1" ref="G258" ca="1">IF(C258="", "", INDEX(INDIRECT("'"&amp;A258&amp;"'!8:8"), COLUMN(INDIRECT("'"&amp;A258&amp;"'!"&amp;C258))))</f>
        <v>Integer</v>
      </c>
      <c r="H258" s="154" t="str" cm="1">
        <f t="array" aca="1" ref="H258" ca="1">IF(C258="","",T(INDIRECT("'"&amp;A258&amp;"'!"&amp;ADDRESS(7, COLUMN(INDIRECT("'"&amp;A258&amp;"'!"&amp;C258))))))</f>
        <v>Flow</v>
      </c>
      <c r="I258" s="154" t="str" cm="1">
        <f t="array" aca="1" ref="I258" ca="1">IF(C258="","",T(INDIRECT("'"&amp;A258&amp;"'!"&amp;ADDRESS(9, COLUMN(INDIRECT("'"&amp;A258&amp;"'!"&amp;C258))))))</f>
        <v/>
      </c>
      <c r="J258" t="s">
        <v>1578</v>
      </c>
    </row>
    <row r="259" spans="1:12" ht="15" customHeight="1">
      <c r="A259" s="154" t="s">
        <v>393</v>
      </c>
      <c r="E259" s="155" cm="1">
        <f t="array" aca="1" ref="E259" ca="1">IF(C259="", INDIRECT("'"&amp;A259&amp;"'!B3"), INDEX(INDIRECT("'"&amp;A259&amp;"'!5:5"), COLUMN(INDIRECT("'"&amp;A259&amp;"'!"&amp;C259))))</f>
        <v>0</v>
      </c>
      <c r="F259" s="155" t="str" cm="1">
        <f t="array" aca="1" ref="F259" ca="1">IF(C259="", "", INDEX(INDIRECT("'"&amp;A259&amp;"'!3:3"), COLUMN(INDIRECT("'"&amp;A259&amp;"'!"&amp;C259))))</f>
        <v/>
      </c>
      <c r="G259" s="154" t="str" cm="1">
        <f t="array" aca="1" ref="G259" ca="1">IF(C259="", "", INDEX(INDIRECT("'"&amp;A259&amp;"'!8:8"), COLUMN(INDIRECT("'"&amp;A259&amp;"'!"&amp;C259))))</f>
        <v/>
      </c>
      <c r="H259" s="154" t="str" cm="1">
        <f t="array" aca="1" ref="H259" ca="1">IF(C259="","",T(INDIRECT("'"&amp;A259&amp;"'!"&amp;ADDRESS(7, COLUMN(INDIRECT("'"&amp;A259&amp;"'!"&amp;C259))))))</f>
        <v/>
      </c>
      <c r="I259" s="154" t="str" cm="1">
        <f t="array" aca="1" ref="I259" ca="1">IF(C259="","",T(INDIRECT("'"&amp;A259&amp;"'!"&amp;ADDRESS(9, COLUMN(INDIRECT("'"&amp;A259&amp;"'!"&amp;C259))))))</f>
        <v/>
      </c>
    </row>
    <row r="260" spans="1:12" ht="15" customHeight="1">
      <c r="A260" s="154" t="s">
        <v>393</v>
      </c>
      <c r="B260" s="154" t="s">
        <v>81</v>
      </c>
      <c r="C260" t="s">
        <v>1549</v>
      </c>
      <c r="D260" s="154" t="s">
        <v>423</v>
      </c>
      <c r="E260" s="155" t="str" cm="1">
        <f t="array" aca="1" ref="E260" ca="1">IF(C260="", INDIRECT("'"&amp;A260&amp;"'!B3"), INDEX(INDIRECT("'"&amp;A260&amp;"'!5:5"), COLUMN(INDIRECT("'"&amp;A260&amp;"'!"&amp;C260))))</f>
        <v>The Obliged Entity Has a Transaction/ Monitoring System in Place</v>
      </c>
      <c r="F260" s="155" cm="1">
        <f t="array" aca="1" ref="F260" ca="1">IF(C260="", "", INDEX(INDIRECT("'"&amp;A260&amp;"'!3:3"), COLUMN(INDIRECT("'"&amp;A260&amp;"'!"&amp;C260))))</f>
        <v>0</v>
      </c>
      <c r="G260" s="154" t="str" cm="1">
        <f t="array" aca="1" ref="G260" ca="1">IF(C260="", "", INDEX(INDIRECT("'"&amp;A260&amp;"'!8:8"), COLUMN(INDIRECT("'"&amp;A260&amp;"'!"&amp;C260))))</f>
        <v>LIST_AMLA_00006</v>
      </c>
      <c r="H260" s="154" t="str" cm="1">
        <f t="array" aca="1" ref="H260" ca="1">IF(C260="","",T(INDIRECT("'"&amp;A260&amp;"'!"&amp;ADDRESS(7, COLUMN(INDIRECT("'"&amp;A260&amp;"'!"&amp;C260))))))</f>
        <v/>
      </c>
      <c r="I260" s="154" t="str" cm="1">
        <f t="array" aca="1" ref="I260" ca="1">IF(C260="","",T(INDIRECT("'"&amp;A260&amp;"'!"&amp;ADDRESS(9, COLUMN(INDIRECT("'"&amp;A260&amp;"'!"&amp;C260))))))</f>
        <v/>
      </c>
      <c r="J260" t="s">
        <v>1729</v>
      </c>
    </row>
    <row r="261" spans="1:12" ht="15" customHeight="1">
      <c r="A261" s="154" t="s">
        <v>393</v>
      </c>
      <c r="B261" s="154" t="s">
        <v>82</v>
      </c>
      <c r="C261" t="s">
        <v>1550</v>
      </c>
      <c r="D261" s="154" t="s">
        <v>423</v>
      </c>
      <c r="E261" s="155" t="str" cm="1">
        <f t="array" aca="1" ref="E261" ca="1">IF(C261="", INDIRECT("'"&amp;A261&amp;"'!B3"), INDEX(INDIRECT("'"&amp;A261&amp;"'!5:5"), COLUMN(INDIRECT("'"&amp;A261&amp;"'!"&amp;C261))))</f>
        <v>Transaction / Activity Monitoring System Type</v>
      </c>
      <c r="F261" s="155" cm="1">
        <f t="array" aca="1" ref="F261" ca="1">IF(C261="", "", INDEX(INDIRECT("'"&amp;A261&amp;"'!3:3"), COLUMN(INDIRECT("'"&amp;A261&amp;"'!"&amp;C261))))</f>
        <v>0</v>
      </c>
      <c r="G261" s="154" t="str" cm="1">
        <f t="array" aca="1" ref="G261" ca="1">IF(C261="", "", INDEX(INDIRECT("'"&amp;A261&amp;"'!8:8"), COLUMN(INDIRECT("'"&amp;A261&amp;"'!"&amp;C261))))</f>
        <v>LIST_AMLA_00011</v>
      </c>
      <c r="H261" s="154" t="str" cm="1">
        <f t="array" aca="1" ref="H261" ca="1">IF(C261="","",T(INDIRECT("'"&amp;A261&amp;"'!"&amp;ADDRESS(7, COLUMN(INDIRECT("'"&amp;A261&amp;"'!"&amp;C261))))))</f>
        <v/>
      </c>
      <c r="I261" s="154" t="str" cm="1">
        <f t="array" aca="1" ref="I261" ca="1">IF(C261="","",T(INDIRECT("'"&amp;A261&amp;"'!"&amp;ADDRESS(9, COLUMN(INDIRECT("'"&amp;A261&amp;"'!"&amp;C261))))))</f>
        <v/>
      </c>
      <c r="J261" t="s">
        <v>1730</v>
      </c>
    </row>
    <row r="262" spans="1:12" ht="15" customHeight="1">
      <c r="A262" s="154" t="s">
        <v>393</v>
      </c>
      <c r="B262" s="154" t="s">
        <v>83</v>
      </c>
      <c r="C262" t="s">
        <v>1551</v>
      </c>
      <c r="D262" s="154" t="s">
        <v>423</v>
      </c>
      <c r="E262" s="155" t="str" cm="1">
        <f t="array" aca="1" ref="E262" ca="1">IF(C262="", INDIRECT("'"&amp;A262&amp;"'!B3"), INDEX(INDIRECT("'"&amp;A262&amp;"'!5:5"), COLUMN(INDIRECT("'"&amp;A262&amp;"'!"&amp;C262))))</f>
        <v>If manual system: Average Alert Analysis Time (Days)</v>
      </c>
      <c r="F262" s="155" cm="1">
        <f t="array" aca="1" ref="F262" ca="1">IF(C262="", "", INDEX(INDIRECT("'"&amp;A262&amp;"'!3:3"), COLUMN(INDIRECT("'"&amp;A262&amp;"'!"&amp;C262))))</f>
        <v>0</v>
      </c>
      <c r="G262" s="154" t="str" cm="1">
        <f t="array" aca="1" ref="G262" ca="1">IF(C262="", "", INDEX(INDIRECT("'"&amp;A262&amp;"'!8:8"), COLUMN(INDIRECT("'"&amp;A262&amp;"'!"&amp;C262))))</f>
        <v>Decimal</v>
      </c>
      <c r="H262" s="154" t="str" cm="1">
        <f t="array" aca="1" ref="H262" ca="1">IF(C262="","",T(INDIRECT("'"&amp;A262&amp;"'!"&amp;ADDRESS(7, COLUMN(INDIRECT("'"&amp;A262&amp;"'!"&amp;C262))))))</f>
        <v>Flow</v>
      </c>
      <c r="I262" s="154" t="str" cm="1">
        <f t="array" aca="1" ref="I262" ca="1">IF(C262="","",T(INDIRECT("'"&amp;A262&amp;"'!"&amp;ADDRESS(9, COLUMN(INDIRECT("'"&amp;A262&amp;"'!"&amp;C262))))))</f>
        <v/>
      </c>
      <c r="J262" t="s">
        <v>1731</v>
      </c>
      <c r="K262" t="s">
        <v>1732</v>
      </c>
      <c r="L262" t="s">
        <v>1733</v>
      </c>
    </row>
    <row r="263" spans="1:12" ht="15" customHeight="1">
      <c r="A263" s="154" t="s">
        <v>393</v>
      </c>
      <c r="B263" s="154" t="s">
        <v>84</v>
      </c>
      <c r="C263" t="s">
        <v>1552</v>
      </c>
      <c r="D263" s="154" t="s">
        <v>423</v>
      </c>
      <c r="E263" s="155" t="str" cm="1">
        <f t="array" aca="1" ref="E263" ca="1">IF(C263="", INDIRECT("'"&amp;A263&amp;"'!B3"), INDEX(INDIRECT("'"&amp;A263&amp;"'!5:5"), COLUMN(INDIRECT("'"&amp;A263&amp;"'!"&amp;C263))))</f>
        <v>Automated Monitoring System - Alerts on Inconsistencies with Expected Number of Transactions</v>
      </c>
      <c r="F263" s="155" cm="1">
        <f t="array" aca="1" ref="F263" ca="1">IF(C263="", "", INDEX(INDIRECT("'"&amp;A263&amp;"'!3:3"), COLUMN(INDIRECT("'"&amp;A263&amp;"'!"&amp;C263))))</f>
        <v>0</v>
      </c>
      <c r="G263" s="154" t="str" cm="1">
        <f t="array" aca="1" ref="G263" ca="1">IF(C263="", "", INDEX(INDIRECT("'"&amp;A263&amp;"'!8:8"), COLUMN(INDIRECT("'"&amp;A263&amp;"'!"&amp;C263))))</f>
        <v>LIST_AMLA_00006</v>
      </c>
      <c r="H263" s="154" t="str" cm="1">
        <f t="array" aca="1" ref="H263" ca="1">IF(C263="","",T(INDIRECT("'"&amp;A263&amp;"'!"&amp;ADDRESS(7, COLUMN(INDIRECT("'"&amp;A263&amp;"'!"&amp;C263))))))</f>
        <v/>
      </c>
      <c r="I263" s="154" t="str" cm="1">
        <f t="array" aca="1" ref="I263" ca="1">IF(C263="","",T(INDIRECT("'"&amp;A263&amp;"'!"&amp;ADDRESS(9, COLUMN(INDIRECT("'"&amp;A263&amp;"'!"&amp;C263))))))</f>
        <v/>
      </c>
      <c r="J263" t="s">
        <v>1734</v>
      </c>
      <c r="K263" t="s">
        <v>1735</v>
      </c>
      <c r="L263" t="s">
        <v>1736</v>
      </c>
    </row>
    <row r="264" spans="1:12" ht="15" customHeight="1">
      <c r="A264" s="154" t="s">
        <v>393</v>
      </c>
      <c r="B264" s="154" t="s">
        <v>85</v>
      </c>
      <c r="C264" t="s">
        <v>1553</v>
      </c>
      <c r="D264" s="154" t="s">
        <v>423</v>
      </c>
      <c r="E264" s="155" t="str" cm="1">
        <f t="array" aca="1" ref="E264" ca="1">IF(C264="", INDIRECT("'"&amp;A264&amp;"'!B3"), INDEX(INDIRECT("'"&amp;A264&amp;"'!5:5"), COLUMN(INDIRECT("'"&amp;A264&amp;"'!"&amp;C264))))</f>
        <v>Automated Monitoring System -Alerts on Inconsistencies with Expected Value of Aggregated Transactions</v>
      </c>
      <c r="F264" s="155" cm="1">
        <f t="array" aca="1" ref="F264" ca="1">IF(C264="", "", INDEX(INDIRECT("'"&amp;A264&amp;"'!3:3"), COLUMN(INDIRECT("'"&amp;A264&amp;"'!"&amp;C264))))</f>
        <v>0</v>
      </c>
      <c r="G264" s="154" t="str" cm="1">
        <f t="array" aca="1" ref="G264" ca="1">IF(C264="", "", INDEX(INDIRECT("'"&amp;A264&amp;"'!8:8"), COLUMN(INDIRECT("'"&amp;A264&amp;"'!"&amp;C264))))</f>
        <v>LIST_AMLA_00006</v>
      </c>
      <c r="H264" s="154" t="str" cm="1">
        <f t="array" aca="1" ref="H264" ca="1">IF(C264="","",T(INDIRECT("'"&amp;A264&amp;"'!"&amp;ADDRESS(7, COLUMN(INDIRECT("'"&amp;A264&amp;"'!"&amp;C264))))))</f>
        <v/>
      </c>
      <c r="I264" s="154" t="str" cm="1">
        <f t="array" aca="1" ref="I264" ca="1">IF(C264="","",T(INDIRECT("'"&amp;A264&amp;"'!"&amp;ADDRESS(9, COLUMN(INDIRECT("'"&amp;A264&amp;"'!"&amp;C264))))))</f>
        <v/>
      </c>
      <c r="J264" t="s">
        <v>1734</v>
      </c>
      <c r="K264" t="s">
        <v>1735</v>
      </c>
      <c r="L264" t="s">
        <v>1737</v>
      </c>
    </row>
    <row r="265" spans="1:12" ht="15" customHeight="1">
      <c r="A265" s="154" t="s">
        <v>393</v>
      </c>
      <c r="B265" s="154" t="s">
        <v>86</v>
      </c>
      <c r="C265" t="s">
        <v>1554</v>
      </c>
      <c r="D265" s="154" t="s">
        <v>423</v>
      </c>
      <c r="E265" s="155" t="str" cm="1">
        <f t="array" aca="1" ref="E265" ca="1">IF(C265="", INDIRECT("'"&amp;A265&amp;"'!B3"), INDEX(INDIRECT("'"&amp;A265&amp;"'!5:5"), COLUMN(INDIRECT("'"&amp;A265&amp;"'!"&amp;C265))))</f>
        <v>Automated Monitoring System –Alerts on Inconsistencies with Expected Value of Single Transactions</v>
      </c>
      <c r="F265" s="155" cm="1">
        <f t="array" aca="1" ref="F265" ca="1">IF(C265="", "", INDEX(INDIRECT("'"&amp;A265&amp;"'!3:3"), COLUMN(INDIRECT("'"&amp;A265&amp;"'!"&amp;C265))))</f>
        <v>0</v>
      </c>
      <c r="G265" s="154" t="str" cm="1">
        <f t="array" aca="1" ref="G265" ca="1">IF(C265="", "", INDEX(INDIRECT("'"&amp;A265&amp;"'!8:8"), COLUMN(INDIRECT("'"&amp;A265&amp;"'!"&amp;C265))))</f>
        <v>LIST_AMLA_00006</v>
      </c>
      <c r="H265" s="154" t="str" cm="1">
        <f t="array" aca="1" ref="H265" ca="1">IF(C265="","",T(INDIRECT("'"&amp;A265&amp;"'!"&amp;ADDRESS(7, COLUMN(INDIRECT("'"&amp;A265&amp;"'!"&amp;C265))))))</f>
        <v/>
      </c>
      <c r="I265" s="154" t="str" cm="1">
        <f t="array" aca="1" ref="I265" ca="1">IF(C265="","",T(INDIRECT("'"&amp;A265&amp;"'!"&amp;ADDRESS(9, COLUMN(INDIRECT("'"&amp;A265&amp;"'!"&amp;C265))))))</f>
        <v/>
      </c>
      <c r="J265" t="s">
        <v>1734</v>
      </c>
      <c r="K265" t="s">
        <v>1735</v>
      </c>
      <c r="L265" t="s">
        <v>1738</v>
      </c>
    </row>
    <row r="266" spans="1:12" ht="15" customHeight="1">
      <c r="A266" s="154" t="s">
        <v>393</v>
      </c>
      <c r="B266" s="154" t="s">
        <v>87</v>
      </c>
      <c r="C266" t="s">
        <v>1555</v>
      </c>
      <c r="D266" s="154" t="s">
        <v>423</v>
      </c>
      <c r="E266" s="155" t="str" cm="1">
        <f t="array" aca="1" ref="E266" ca="1">IF(C266="", INDIRECT("'"&amp;A266&amp;"'!B3"), INDEX(INDIRECT("'"&amp;A266&amp;"'!5:5"), COLUMN(INDIRECT("'"&amp;A266&amp;"'!"&amp;C266))))</f>
        <v>Automated Monitoring System – Alerts on Inconsistencies with Expected Counterparties</v>
      </c>
      <c r="F266" s="155" cm="1">
        <f t="array" aca="1" ref="F266" ca="1">IF(C266="", "", INDEX(INDIRECT("'"&amp;A266&amp;"'!3:3"), COLUMN(INDIRECT("'"&amp;A266&amp;"'!"&amp;C266))))</f>
        <v>0</v>
      </c>
      <c r="G266" s="154" t="str" cm="1">
        <f t="array" aca="1" ref="G266" ca="1">IF(C266="", "", INDEX(INDIRECT("'"&amp;A266&amp;"'!8:8"), COLUMN(INDIRECT("'"&amp;A266&amp;"'!"&amp;C266))))</f>
        <v>LIST_AMLA_00006</v>
      </c>
      <c r="H266" s="154" t="str" cm="1">
        <f t="array" aca="1" ref="H266" ca="1">IF(C266="","",T(INDIRECT("'"&amp;A266&amp;"'!"&amp;ADDRESS(7, COLUMN(INDIRECT("'"&amp;A266&amp;"'!"&amp;C266))))))</f>
        <v/>
      </c>
      <c r="I266" s="154" t="str" cm="1">
        <f t="array" aca="1" ref="I266" ca="1">IF(C266="","",T(INDIRECT("'"&amp;A266&amp;"'!"&amp;ADDRESS(9, COLUMN(INDIRECT("'"&amp;A266&amp;"'!"&amp;C266))))))</f>
        <v/>
      </c>
      <c r="J266" t="s">
        <v>1734</v>
      </c>
      <c r="K266" t="s">
        <v>1735</v>
      </c>
      <c r="L266" t="s">
        <v>1739</v>
      </c>
    </row>
    <row r="267" spans="1:12" ht="15" customHeight="1">
      <c r="A267" s="154" t="s">
        <v>393</v>
      </c>
      <c r="B267" s="154" t="s">
        <v>88</v>
      </c>
      <c r="C267" t="s">
        <v>1556</v>
      </c>
      <c r="D267" s="154" t="s">
        <v>423</v>
      </c>
      <c r="E267" s="155" t="str" cm="1">
        <f t="array" aca="1" ref="E267" ca="1">IF(C267="", INDIRECT("'"&amp;A267&amp;"'!B3"), INDEX(INDIRECT("'"&amp;A267&amp;"'!5:5"), COLUMN(INDIRECT("'"&amp;A267&amp;"'!"&amp;C267))))</f>
        <v>Automated Monitoring System - CDD Inconsistencies: Alerts on Countries</v>
      </c>
      <c r="F267" s="155" cm="1">
        <f t="array" aca="1" ref="F267" ca="1">IF(C267="", "", INDEX(INDIRECT("'"&amp;A267&amp;"'!3:3"), COLUMN(INDIRECT("'"&amp;A267&amp;"'!"&amp;C267))))</f>
        <v>0</v>
      </c>
      <c r="G267" s="154" t="str" cm="1">
        <f t="array" aca="1" ref="G267" ca="1">IF(C267="", "", INDEX(INDIRECT("'"&amp;A267&amp;"'!8:8"), COLUMN(INDIRECT("'"&amp;A267&amp;"'!"&amp;C267))))</f>
        <v>LIST_AMLA_00006</v>
      </c>
      <c r="H267" s="154" t="str" cm="1">
        <f t="array" aca="1" ref="H267" ca="1">IF(C267="","",T(INDIRECT("'"&amp;A267&amp;"'!"&amp;ADDRESS(7, COLUMN(INDIRECT("'"&amp;A267&amp;"'!"&amp;C267))))))</f>
        <v/>
      </c>
      <c r="I267" s="154" t="str" cm="1">
        <f t="array" aca="1" ref="I267" ca="1">IF(C267="","",T(INDIRECT("'"&amp;A267&amp;"'!"&amp;ADDRESS(9, COLUMN(INDIRECT("'"&amp;A267&amp;"'!"&amp;C267))))))</f>
        <v/>
      </c>
      <c r="J267" t="s">
        <v>1734</v>
      </c>
      <c r="K267" t="s">
        <v>1735</v>
      </c>
      <c r="L267" t="s">
        <v>1740</v>
      </c>
    </row>
    <row r="268" spans="1:12" ht="15" customHeight="1">
      <c r="A268" s="154" t="s">
        <v>393</v>
      </c>
      <c r="B268" s="154" t="s">
        <v>89</v>
      </c>
      <c r="C268" t="s">
        <v>1557</v>
      </c>
      <c r="D268" s="154" t="s">
        <v>423</v>
      </c>
      <c r="E268" s="155" t="str" cm="1">
        <f t="array" aca="1" ref="E268" ca="1">IF(C268="", INDIRECT("'"&amp;A268&amp;"'!B3"), INDEX(INDIRECT("'"&amp;A268&amp;"'!5:5"), COLUMN(INDIRECT("'"&amp;A268&amp;"'!"&amp;C268))))</f>
        <v>If automated system: Alerts Pending</v>
      </c>
      <c r="F268" s="155" cm="1">
        <f t="array" aca="1" ref="F268" ca="1">IF(C268="", "", INDEX(INDIRECT("'"&amp;A268&amp;"'!3:3"), COLUMN(INDIRECT("'"&amp;A268&amp;"'!"&amp;C268))))</f>
        <v>0</v>
      </c>
      <c r="G268" s="154" t="str" cm="1">
        <f t="array" aca="1" ref="G268" ca="1">IF(C268="", "", INDEX(INDIRECT("'"&amp;A268&amp;"'!8:8"), COLUMN(INDIRECT("'"&amp;A268&amp;"'!"&amp;C268))))</f>
        <v>Integer</v>
      </c>
      <c r="H268" s="154" t="str" cm="1">
        <f t="array" aca="1" ref="H268" ca="1">IF(C268="","",T(INDIRECT("'"&amp;A268&amp;"'!"&amp;ADDRESS(7, COLUMN(INDIRECT("'"&amp;A268&amp;"'!"&amp;C268))))))</f>
        <v>Stock</v>
      </c>
      <c r="I268" s="154" t="str" cm="1">
        <f t="array" aca="1" ref="I268" ca="1">IF(C268="","",T(INDIRECT("'"&amp;A268&amp;"'!"&amp;ADDRESS(9, COLUMN(INDIRECT("'"&amp;A268&amp;"'!"&amp;C268))))))</f>
        <v/>
      </c>
      <c r="J268" t="s">
        <v>1741</v>
      </c>
      <c r="K268" t="s">
        <v>1735</v>
      </c>
      <c r="L268" t="s">
        <v>1742</v>
      </c>
    </row>
    <row r="269" spans="1:12" ht="15" customHeight="1">
      <c r="A269" s="154" t="s">
        <v>393</v>
      </c>
      <c r="B269" s="154" t="s">
        <v>90</v>
      </c>
      <c r="C269" t="s">
        <v>1558</v>
      </c>
      <c r="D269" s="154" t="s">
        <v>423</v>
      </c>
      <c r="E269" s="155" t="str" cm="1">
        <f t="array" aca="1" ref="E269" ca="1">IF(C269="", INDIRECT("'"&amp;A269&amp;"'!B3"), INDEX(INDIRECT("'"&amp;A269&amp;"'!5:5"), COLUMN(INDIRECT("'"&amp;A269&amp;"'!"&amp;C269))))</f>
        <v>If automated system: Average Alert Analysis Time (Days)</v>
      </c>
      <c r="F269" s="155" cm="1">
        <f t="array" aca="1" ref="F269" ca="1">IF(C269="", "", INDEX(INDIRECT("'"&amp;A269&amp;"'!3:3"), COLUMN(INDIRECT("'"&amp;A269&amp;"'!"&amp;C269))))</f>
        <v>0</v>
      </c>
      <c r="G269" s="154" t="str" cm="1">
        <f t="array" aca="1" ref="G269" ca="1">IF(C269="", "", INDEX(INDIRECT("'"&amp;A269&amp;"'!8:8"), COLUMN(INDIRECT("'"&amp;A269&amp;"'!"&amp;C269))))</f>
        <v>Decimal</v>
      </c>
      <c r="H269" s="154" t="str" cm="1">
        <f t="array" aca="1" ref="H269" ca="1">IF(C269="","",T(INDIRECT("'"&amp;A269&amp;"'!"&amp;ADDRESS(7, COLUMN(INDIRECT("'"&amp;A269&amp;"'!"&amp;C269))))))</f>
        <v>Flow</v>
      </c>
      <c r="I269" s="154" t="str" cm="1">
        <f t="array" aca="1" ref="I269" ca="1">IF(C269="","",T(INDIRECT("'"&amp;A269&amp;"'!"&amp;ADDRESS(9, COLUMN(INDIRECT("'"&amp;A269&amp;"'!"&amp;C269))))))</f>
        <v/>
      </c>
      <c r="J269" t="s">
        <v>1731</v>
      </c>
      <c r="K269" t="s">
        <v>1735</v>
      </c>
      <c r="L269" t="s">
        <v>1743</v>
      </c>
    </row>
    <row r="270" spans="1:12" ht="15" customHeight="1">
      <c r="A270" s="154" t="s">
        <v>393</v>
      </c>
      <c r="B270" s="154" t="s">
        <v>91</v>
      </c>
      <c r="C270" t="s">
        <v>1559</v>
      </c>
      <c r="D270" s="154" t="s">
        <v>423</v>
      </c>
      <c r="E270" s="155" t="str" cm="1">
        <f t="array" aca="1" ref="E270" ca="1">IF(C270="", INDIRECT("'"&amp;A270&amp;"'!B3"), INDEX(INDIRECT("'"&amp;A270&amp;"'!5:5"), COLUMN(INDIRECT("'"&amp;A270&amp;"'!"&amp;C270))))</f>
        <v>If automated system: total number of alerts</v>
      </c>
      <c r="F270" s="155" cm="1">
        <f t="array" aca="1" ref="F270" ca="1">IF(C270="", "", INDEX(INDIRECT("'"&amp;A270&amp;"'!3:3"), COLUMN(INDIRECT("'"&amp;A270&amp;"'!"&amp;C270))))</f>
        <v>0</v>
      </c>
      <c r="G270" s="154" t="str" cm="1">
        <f t="array" aca="1" ref="G270" ca="1">IF(C270="", "", INDEX(INDIRECT("'"&amp;A270&amp;"'!8:8"), COLUMN(INDIRECT("'"&amp;A270&amp;"'!"&amp;C270))))</f>
        <v>Integer</v>
      </c>
      <c r="H270" s="154" t="str" cm="1">
        <f t="array" aca="1" ref="H270" ca="1">IF(C270="","",T(INDIRECT("'"&amp;A270&amp;"'!"&amp;ADDRESS(7, COLUMN(INDIRECT("'"&amp;A270&amp;"'!"&amp;C270))))))</f>
        <v>Flow</v>
      </c>
      <c r="I270" s="154" t="str" cm="1">
        <f t="array" aca="1" ref="I270" ca="1">IF(C270="","",T(INDIRECT("'"&amp;A270&amp;"'!"&amp;ADDRESS(9, COLUMN(INDIRECT("'"&amp;A270&amp;"'!"&amp;C270))))))</f>
        <v/>
      </c>
      <c r="J270" t="s">
        <v>1741</v>
      </c>
      <c r="K270" t="s">
        <v>1735</v>
      </c>
    </row>
    <row r="271" spans="1:12" ht="15" customHeight="1">
      <c r="A271" s="154" t="s">
        <v>393</v>
      </c>
      <c r="B271" s="154" t="s">
        <v>92</v>
      </c>
      <c r="C271" t="s">
        <v>1560</v>
      </c>
      <c r="D271" s="154" t="s">
        <v>423</v>
      </c>
      <c r="E271" s="155" t="str" cm="1">
        <f t="array" aca="1" ref="E271" ca="1">IF(C271="", INDIRECT("'"&amp;A271&amp;"'!B3"), INDEX(INDIRECT("'"&amp;A271&amp;"'!5:5"), COLUMN(INDIRECT("'"&amp;A271&amp;"'!"&amp;C271))))</f>
        <v>If automated system: total number of STRs submitted to the FIU</v>
      </c>
      <c r="F271" s="155" cm="1">
        <f t="array" aca="1" ref="F271" ca="1">IF(C271="", "", INDEX(INDIRECT("'"&amp;A271&amp;"'!3:3"), COLUMN(INDIRECT("'"&amp;A271&amp;"'!"&amp;C271))))</f>
        <v>0</v>
      </c>
      <c r="G271" s="154" t="str" cm="1">
        <f t="array" aca="1" ref="G271" ca="1">IF(C271="", "", INDEX(INDIRECT("'"&amp;A271&amp;"'!8:8"), COLUMN(INDIRECT("'"&amp;A271&amp;"'!"&amp;C271))))</f>
        <v>Integer</v>
      </c>
      <c r="H271" s="154" t="str" cm="1">
        <f t="array" aca="1" ref="H271" ca="1">IF(C271="","",T(INDIRECT("'"&amp;A271&amp;"'!"&amp;ADDRESS(7, COLUMN(INDIRECT("'"&amp;A271&amp;"'!"&amp;C271))))))</f>
        <v>Flow</v>
      </c>
      <c r="I271" s="154" t="str" cm="1">
        <f t="array" aca="1" ref="I271" ca="1">IF(C271="","",T(INDIRECT("'"&amp;A271&amp;"'!"&amp;ADDRESS(9, COLUMN(INDIRECT("'"&amp;A271&amp;"'!"&amp;C271))))))</f>
        <v/>
      </c>
      <c r="J271" t="s">
        <v>1744</v>
      </c>
      <c r="K271" t="s">
        <v>1735</v>
      </c>
    </row>
    <row r="272" spans="1:12" ht="15" customHeight="1">
      <c r="A272" s="154" t="s">
        <v>393</v>
      </c>
      <c r="B272" s="154" t="s">
        <v>93</v>
      </c>
      <c r="C272" t="s">
        <v>1561</v>
      </c>
      <c r="D272" s="154" t="s">
        <v>423</v>
      </c>
      <c r="E272" s="155" t="str" cm="1">
        <f t="array" aca="1" ref="E272" ca="1">IF(C272="", INDIRECT("'"&amp;A272&amp;"'!B3"), INDEX(INDIRECT("'"&amp;A272&amp;"'!5:5"), COLUMN(INDIRECT("'"&amp;A272&amp;"'!"&amp;C272))))</f>
        <v>DLT/Blockchain Analysis Tool</v>
      </c>
      <c r="F272" s="155" cm="1">
        <f t="array" aca="1" ref="F272" ca="1">IF(C272="", "", INDEX(INDIRECT("'"&amp;A272&amp;"'!3:3"), COLUMN(INDIRECT("'"&amp;A272&amp;"'!"&amp;C272))))</f>
        <v>0</v>
      </c>
      <c r="G272" s="154" t="str" cm="1">
        <f t="array" aca="1" ref="G272" ca="1">IF(C272="", "", INDEX(INDIRECT("'"&amp;A272&amp;"'!8:8"), COLUMN(INDIRECT("'"&amp;A272&amp;"'!"&amp;C272))))</f>
        <v>LIST_AMLA_00006</v>
      </c>
      <c r="H272" s="154" t="str" cm="1">
        <f t="array" aca="1" ref="H272" ca="1">IF(C272="","",T(INDIRECT("'"&amp;A272&amp;"'!"&amp;ADDRESS(7, COLUMN(INDIRECT("'"&amp;A272&amp;"'!"&amp;C272))))))</f>
        <v>Flow</v>
      </c>
      <c r="I272" s="154" t="str" cm="1">
        <f t="array" aca="1" ref="I272" ca="1">IF(C272="","",T(INDIRECT("'"&amp;A272&amp;"'!"&amp;ADDRESS(9, COLUMN(INDIRECT("'"&amp;A272&amp;"'!"&amp;C272))))))</f>
        <v/>
      </c>
      <c r="J272" t="s">
        <v>1745</v>
      </c>
      <c r="K272" t="s">
        <v>1735</v>
      </c>
    </row>
    <row r="273" spans="1:12" ht="15" customHeight="1">
      <c r="A273" s="154" t="s">
        <v>393</v>
      </c>
      <c r="B273" s="154" t="s">
        <v>94</v>
      </c>
      <c r="C273" t="s">
        <v>1562</v>
      </c>
      <c r="D273" s="154" t="s">
        <v>423</v>
      </c>
      <c r="E273" s="155" t="str" cm="1">
        <f t="array" aca="1" ref="E273" ca="1">IF(C273="", INDIRECT("'"&amp;A273&amp;"'!B3"), INDEX(INDIRECT("'"&amp;A273&amp;"'!5:5"), COLUMN(INDIRECT("'"&amp;A273&amp;"'!"&amp;C273))))</f>
        <v>Average STR Processing Time (Days)</v>
      </c>
      <c r="F273" s="155" cm="1">
        <f t="array" aca="1" ref="F273" ca="1">IF(C273="", "", INDEX(INDIRECT("'"&amp;A273&amp;"'!3:3"), COLUMN(INDIRECT("'"&amp;A273&amp;"'!"&amp;C273))))</f>
        <v>0</v>
      </c>
      <c r="G273" s="154" t="str" cm="1">
        <f t="array" aca="1" ref="G273" ca="1">IF(C273="", "", INDEX(INDIRECT("'"&amp;A273&amp;"'!8:8"), COLUMN(INDIRECT("'"&amp;A273&amp;"'!"&amp;C273))))</f>
        <v>Decimal</v>
      </c>
      <c r="H273" s="154" t="str" cm="1">
        <f t="array" aca="1" ref="H273" ca="1">IF(C273="","",T(INDIRECT("'"&amp;A273&amp;"'!"&amp;ADDRESS(7, COLUMN(INDIRECT("'"&amp;A273&amp;"'!"&amp;C273))))))</f>
        <v>Flow</v>
      </c>
      <c r="I273" s="154" t="str" cm="1">
        <f t="array" aca="1" ref="I273" ca="1">IF(C273="","",T(INDIRECT("'"&amp;A273&amp;"'!"&amp;ADDRESS(9, COLUMN(INDIRECT("'"&amp;A273&amp;"'!"&amp;C273))))))</f>
        <v/>
      </c>
      <c r="J273" t="s">
        <v>1731</v>
      </c>
      <c r="K273" t="s">
        <v>1735</v>
      </c>
      <c r="L273" t="s">
        <v>1746</v>
      </c>
    </row>
    <row r="274" spans="1:12" ht="15" customHeight="1">
      <c r="A274" s="154" t="s">
        <v>393</v>
      </c>
      <c r="B274" s="154" t="s">
        <v>95</v>
      </c>
      <c r="C274" t="s">
        <v>1563</v>
      </c>
      <c r="D274" s="154" t="s">
        <v>423</v>
      </c>
      <c r="E274" s="155" t="str" cm="1">
        <f t="array" aca="1" ref="E274" ca="1">IF(C274="", INDIRECT("'"&amp;A274&amp;"'!B3"), INDEX(INDIRECT("'"&amp;A274&amp;"'!5:5"), COLUMN(INDIRECT("'"&amp;A274&amp;"'!"&amp;C274))))</f>
        <v>STRs Submitted (Total)</v>
      </c>
      <c r="F274" s="155" cm="1">
        <f t="array" aca="1" ref="F274" ca="1">IF(C274="", "", INDEX(INDIRECT("'"&amp;A274&amp;"'!3:3"), COLUMN(INDIRECT("'"&amp;A274&amp;"'!"&amp;C274))))</f>
        <v>0</v>
      </c>
      <c r="G274" s="154" t="str" cm="1">
        <f t="array" aca="1" ref="G274" ca="1">IF(C274="", "", INDEX(INDIRECT("'"&amp;A274&amp;"'!8:8"), COLUMN(INDIRECT("'"&amp;A274&amp;"'!"&amp;C274))))</f>
        <v>Integer</v>
      </c>
      <c r="H274" s="154" t="str" cm="1">
        <f t="array" aca="1" ref="H274" ca="1">IF(C274="","",T(INDIRECT("'"&amp;A274&amp;"'!"&amp;ADDRESS(7, COLUMN(INDIRECT("'"&amp;A274&amp;"'!"&amp;C274))))))</f>
        <v>Flow</v>
      </c>
      <c r="I274" s="154" t="str" cm="1">
        <f t="array" aca="1" ref="I274" ca="1">IF(C274="","",T(INDIRECT("'"&amp;A274&amp;"'!"&amp;ADDRESS(9, COLUMN(INDIRECT("'"&amp;A274&amp;"'!"&amp;C274))))))</f>
        <v/>
      </c>
      <c r="J274" t="s">
        <v>1744</v>
      </c>
      <c r="K274" t="s">
        <v>1747</v>
      </c>
    </row>
    <row r="275" spans="1:12" ht="15" customHeight="1">
      <c r="A275" s="154" t="s">
        <v>415</v>
      </c>
      <c r="E275" s="155" cm="1">
        <f t="array" aca="1" ref="E275" ca="1">IF(C275="", INDIRECT("'"&amp;A275&amp;"'!B3"), INDEX(INDIRECT("'"&amp;A275&amp;"'!5:5"), COLUMN(INDIRECT("'"&amp;A275&amp;"'!"&amp;C275))))</f>
        <v>0</v>
      </c>
      <c r="F275" s="155" t="str" cm="1">
        <f t="array" aca="1" ref="F275" ca="1">IF(C275="", "", INDEX(INDIRECT("'"&amp;A275&amp;"'!3:3"), COLUMN(INDIRECT("'"&amp;A275&amp;"'!"&amp;C275))))</f>
        <v/>
      </c>
      <c r="G275" s="154" t="str" cm="1">
        <f t="array" aca="1" ref="G275" ca="1">IF(C275="", "", INDEX(INDIRECT("'"&amp;A275&amp;"'!8:8"), COLUMN(INDIRECT("'"&amp;A275&amp;"'!"&amp;C275))))</f>
        <v/>
      </c>
      <c r="H275" s="154" t="str" cm="1">
        <f t="array" aca="1" ref="H275" ca="1">IF(C275="","",T(INDIRECT("'"&amp;A275&amp;"'!"&amp;ADDRESS(7, COLUMN(INDIRECT("'"&amp;A275&amp;"'!"&amp;C275))))))</f>
        <v/>
      </c>
      <c r="I275" s="154" t="str" cm="1">
        <f t="array" aca="1" ref="I275" ca="1">IF(C275="","",T(INDIRECT("'"&amp;A275&amp;"'!"&amp;ADDRESS(9, COLUMN(INDIRECT("'"&amp;A275&amp;"'!"&amp;C275))))))</f>
        <v/>
      </c>
    </row>
    <row r="276" spans="1:12" ht="15" customHeight="1">
      <c r="A276" s="154" t="s">
        <v>415</v>
      </c>
      <c r="B276" s="154" t="s">
        <v>81</v>
      </c>
      <c r="C276" t="s">
        <v>1549</v>
      </c>
      <c r="D276" s="154" t="s">
        <v>416</v>
      </c>
      <c r="E276" s="155" t="str" cm="1">
        <f t="array" aca="1" ref="E276" ca="1">IF(C276="", INDIRECT("'"&amp;A276&amp;"'!B3"), INDEX(INDIRECT("'"&amp;A276&amp;"'!5:5"), COLUMN(INDIRECT("'"&amp;A276&amp;"'!"&amp;C276))))</f>
        <v>TFS Implementation Time (Hours)</v>
      </c>
      <c r="F276" s="155" cm="1">
        <f t="array" aca="1" ref="F276" ca="1">IF(C276="", "", INDEX(INDIRECT("'"&amp;A276&amp;"'!3:3"), COLUMN(INDIRECT("'"&amp;A276&amp;"'!"&amp;C276))))</f>
        <v>0</v>
      </c>
      <c r="G276" s="154" t="str" cm="1">
        <f t="array" aca="1" ref="G276" ca="1">IF(C276="", "", INDEX(INDIRECT("'"&amp;A276&amp;"'!8:8"), COLUMN(INDIRECT("'"&amp;A276&amp;"'!"&amp;C276))))</f>
        <v>Integer</v>
      </c>
      <c r="H276" s="154" t="str" cm="1">
        <f t="array" aca="1" ref="H276" ca="1">IF(C276="","",T(INDIRECT("'"&amp;A276&amp;"'!"&amp;ADDRESS(7, COLUMN(INDIRECT("'"&amp;A276&amp;"'!"&amp;C276))))))</f>
        <v>Stock</v>
      </c>
      <c r="I276" s="154" t="str" cm="1">
        <f t="array" aca="1" ref="I276" ca="1">IF(C276="","",T(INDIRECT("'"&amp;A276&amp;"'!"&amp;ADDRESS(9, COLUMN(INDIRECT("'"&amp;A276&amp;"'!"&amp;C276))))))</f>
        <v/>
      </c>
      <c r="J276" t="s">
        <v>1748</v>
      </c>
      <c r="K276" t="s">
        <v>1749</v>
      </c>
    </row>
    <row r="277" spans="1:12" ht="15" customHeight="1">
      <c r="A277" s="154" t="s">
        <v>415</v>
      </c>
      <c r="B277" s="154" t="s">
        <v>82</v>
      </c>
      <c r="C277" t="s">
        <v>1550</v>
      </c>
      <c r="D277" s="154" t="s">
        <v>416</v>
      </c>
      <c r="E277" s="155" t="str" cm="1">
        <f t="array" aca="1" ref="E277" ca="1">IF(C277="", INDIRECT("'"&amp;A277&amp;"'!B3"), INDEX(INDIRECT("'"&amp;A277&amp;"'!5:5"), COLUMN(INDIRECT("'"&amp;A277&amp;"'!"&amp;C277))))</f>
        <v>Outbound Transfers with Information Requests (RFI)</v>
      </c>
      <c r="F277" s="155" cm="1">
        <f t="array" aca="1" ref="F277" ca="1">IF(C277="", "", INDEX(INDIRECT("'"&amp;A277&amp;"'!3:3"), COLUMN(INDIRECT("'"&amp;A277&amp;"'!"&amp;C277))))</f>
        <v>0</v>
      </c>
      <c r="G277" s="154" t="str" cm="1">
        <f t="array" aca="1" ref="G277" ca="1">IF(C277="", "", INDEX(INDIRECT("'"&amp;A277&amp;"'!8:8"), COLUMN(INDIRECT("'"&amp;A277&amp;"'!"&amp;C277))))</f>
        <v>Integer</v>
      </c>
      <c r="H277" s="154" t="str" cm="1">
        <f t="array" aca="1" ref="H277" ca="1">IF(C277="","",T(INDIRECT("'"&amp;A277&amp;"'!"&amp;ADDRESS(7, COLUMN(INDIRECT("'"&amp;A277&amp;"'!"&amp;C277))))))</f>
        <v>Flow</v>
      </c>
      <c r="I277" s="154" t="str" cm="1">
        <f t="array" aca="1" ref="I277" ca="1">IF(C277="","",T(INDIRECT("'"&amp;A277&amp;"'!"&amp;ADDRESS(9, COLUMN(INDIRECT("'"&amp;A277&amp;"'!"&amp;C277))))))</f>
        <v/>
      </c>
      <c r="J277" t="s">
        <v>1750</v>
      </c>
      <c r="K277" t="s">
        <v>1597</v>
      </c>
      <c r="L277" t="s">
        <v>1751</v>
      </c>
    </row>
    <row r="278" spans="1:12" ht="15" customHeight="1">
      <c r="A278" s="154" t="s">
        <v>415</v>
      </c>
      <c r="B278" s="154" t="s">
        <v>83</v>
      </c>
      <c r="C278" t="s">
        <v>1551</v>
      </c>
      <c r="D278" s="154" t="s">
        <v>416</v>
      </c>
      <c r="E278" s="155" t="str" cm="1">
        <f t="array" aca="1" ref="E278" ca="1">IF(C278="", INDIRECT("'"&amp;A278&amp;"'!B3"), INDEX(INDIRECT("'"&amp;A278&amp;"'!5:5"), COLUMN(INDIRECT("'"&amp;A278&amp;"'!"&amp;C278))))</f>
        <v>Total Outbound Transfers</v>
      </c>
      <c r="F278" s="155" cm="1">
        <f t="array" aca="1" ref="F278" ca="1">IF(C278="", "", INDEX(INDIRECT("'"&amp;A278&amp;"'!3:3"), COLUMN(INDIRECT("'"&amp;A278&amp;"'!"&amp;C278))))</f>
        <v>0</v>
      </c>
      <c r="G278" s="154" t="str" cm="1">
        <f t="array" aca="1" ref="G278" ca="1">IF(C278="", "", INDEX(INDIRECT("'"&amp;A278&amp;"'!8:8"), COLUMN(INDIRECT("'"&amp;A278&amp;"'!"&amp;C278))))</f>
        <v>Integer</v>
      </c>
      <c r="H278" s="154" t="str" cm="1">
        <f t="array" aca="1" ref="H278" ca="1">IF(C278="","",T(INDIRECT("'"&amp;A278&amp;"'!"&amp;ADDRESS(7, COLUMN(INDIRECT("'"&amp;A278&amp;"'!"&amp;C278))))))</f>
        <v>Flow</v>
      </c>
      <c r="I278" s="154" t="str" cm="1">
        <f t="array" aca="1" ref="I278" ca="1">IF(C278="","",T(INDIRECT("'"&amp;A278&amp;"'!"&amp;ADDRESS(9, COLUMN(INDIRECT("'"&amp;A278&amp;"'!"&amp;C278))))))</f>
        <v/>
      </c>
      <c r="J278" t="s">
        <v>1750</v>
      </c>
      <c r="K278" t="s">
        <v>1597</v>
      </c>
    </row>
    <row r="279" spans="1:12" ht="15" customHeight="1">
      <c r="A279" s="154" t="s">
        <v>415</v>
      </c>
      <c r="B279" s="154" t="s">
        <v>84</v>
      </c>
      <c r="C279" t="s">
        <v>1552</v>
      </c>
      <c r="D279" s="154" t="s">
        <v>416</v>
      </c>
      <c r="E279" s="155" t="str" cm="1">
        <f t="array" aca="1" ref="E279" ca="1">IF(C279="", INDIRECT("'"&amp;A279&amp;"'!B3"), INDEX(INDIRECT("'"&amp;A279&amp;"'!5:5"), COLUMN(INDIRECT("'"&amp;A279&amp;"'!"&amp;C279))))</f>
        <v>Rejected/Returned Outbound Transfers (%)</v>
      </c>
      <c r="F279" s="155" cm="1">
        <f t="array" aca="1" ref="F279" ca="1">IF(C279="", "", INDEX(INDIRECT("'"&amp;A279&amp;"'!3:3"), COLUMN(INDIRECT("'"&amp;A279&amp;"'!"&amp;C279))))</f>
        <v>0</v>
      </c>
      <c r="G279" s="154" t="str" cm="1">
        <f t="array" aca="1" ref="G279" ca="1">IF(C279="", "", INDEX(INDIRECT("'"&amp;A279&amp;"'!8:8"), COLUMN(INDIRECT("'"&amp;A279&amp;"'!"&amp;C279))))</f>
        <v>Percentage</v>
      </c>
      <c r="H279" s="154" t="str" cm="1">
        <f t="array" aca="1" ref="H279" ca="1">IF(C279="","",T(INDIRECT("'"&amp;A279&amp;"'!"&amp;ADDRESS(7, COLUMN(INDIRECT("'"&amp;A279&amp;"'!"&amp;C279))))))</f>
        <v>Flow</v>
      </c>
      <c r="I279" s="154" t="str" cm="1">
        <f t="array" aca="1" ref="I279" ca="1">IF(C279="","",T(INDIRECT("'"&amp;A279&amp;"'!"&amp;ADDRESS(9, COLUMN(INDIRECT("'"&amp;A279&amp;"'!"&amp;C279))))))</f>
        <v/>
      </c>
      <c r="J279" t="s">
        <v>1752</v>
      </c>
      <c r="K279" t="s">
        <v>1597</v>
      </c>
    </row>
    <row r="280" spans="1:12" ht="15" customHeight="1">
      <c r="A280" s="154" t="s">
        <v>421</v>
      </c>
      <c r="E280" s="155" cm="1">
        <f t="array" aca="1" ref="E280" ca="1">IF(C280="", INDIRECT("'"&amp;A280&amp;"'!B3"), INDEX(INDIRECT("'"&amp;A280&amp;"'!5:5"), COLUMN(INDIRECT("'"&amp;A280&amp;"'!"&amp;C280))))</f>
        <v>0</v>
      </c>
      <c r="F280" s="155" t="str" cm="1">
        <f t="array" aca="1" ref="F280" ca="1">IF(C280="", "", INDEX(INDIRECT("'"&amp;A280&amp;"'!3:3"), COLUMN(INDIRECT("'"&amp;A280&amp;"'!"&amp;C280))))</f>
        <v/>
      </c>
      <c r="G280" s="154" t="str" cm="1">
        <f t="array" aca="1" ref="G280" ca="1">IF(C280="", "", INDEX(INDIRECT("'"&amp;A280&amp;"'!8:8"), COLUMN(INDIRECT("'"&amp;A280&amp;"'!"&amp;C280))))</f>
        <v/>
      </c>
      <c r="H280" s="154" t="str" cm="1">
        <f t="array" aca="1" ref="H280" ca="1">IF(C280="","",T(INDIRECT("'"&amp;A280&amp;"'!"&amp;ADDRESS(7, COLUMN(INDIRECT("'"&amp;A280&amp;"'!"&amp;C280))))))</f>
        <v/>
      </c>
      <c r="I280" s="154" t="str" cm="1">
        <f t="array" aca="1" ref="I280" ca="1">IF(C280="","",T(INDIRECT("'"&amp;A280&amp;"'!"&amp;ADDRESS(9, COLUMN(INDIRECT("'"&amp;A280&amp;"'!"&amp;C280))))))</f>
        <v/>
      </c>
    </row>
    <row r="281" spans="1:12" ht="15" customHeight="1">
      <c r="A281" s="154" t="s">
        <v>421</v>
      </c>
      <c r="B281" s="154" t="s">
        <v>81</v>
      </c>
      <c r="C281" t="s">
        <v>1549</v>
      </c>
      <c r="D281" s="154" t="s">
        <v>423</v>
      </c>
      <c r="E281" s="155" t="str" cm="1">
        <f t="array" aca="1" ref="E281" ca="1">IF(C281="", INDIRECT("'"&amp;A281&amp;"'!B3"), INDEX(INDIRECT("'"&amp;A281&amp;"'!5:5"), COLUMN(INDIRECT("'"&amp;A281&amp;"'!"&amp;C281))))</f>
        <v>Group Reporting - Group Entities Reporting on CDD</v>
      </c>
      <c r="F281" s="155" cm="1">
        <f t="array" aca="1" ref="F281" ca="1">IF(C281="", "", INDEX(INDIRECT("'"&amp;A281&amp;"'!3:3"), COLUMN(INDIRECT("'"&amp;A281&amp;"'!"&amp;C281))))</f>
        <v>0</v>
      </c>
      <c r="G281" s="154" t="str" cm="1">
        <f t="array" aca="1" ref="G281" ca="1">IF(C281="", "", INDEX(INDIRECT("'"&amp;A281&amp;"'!8:8"), COLUMN(INDIRECT("'"&amp;A281&amp;"'!"&amp;C281))))</f>
        <v>Percentage</v>
      </c>
      <c r="H281" s="154" t="str" cm="1">
        <f t="array" aca="1" ref="H281" ca="1">IF(C281="","",T(INDIRECT("'"&amp;A281&amp;"'!"&amp;ADDRESS(7, COLUMN(INDIRECT("'"&amp;A281&amp;"'!"&amp;C281))))))</f>
        <v>Flow</v>
      </c>
      <c r="I281" s="154" t="str" cm="1">
        <f t="array" aca="1" ref="I281" ca="1">IF(C281="","",T(INDIRECT("'"&amp;A281&amp;"'!"&amp;ADDRESS(9, COLUMN(INDIRECT("'"&amp;A281&amp;"'!"&amp;C281))))))</f>
        <v/>
      </c>
      <c r="J281" t="s">
        <v>1753</v>
      </c>
      <c r="K281" t="s">
        <v>1754</v>
      </c>
    </row>
    <row r="282" spans="1:12" ht="15" customHeight="1">
      <c r="A282" s="154" t="s">
        <v>421</v>
      </c>
      <c r="B282" s="154" t="s">
        <v>82</v>
      </c>
      <c r="C282" t="s">
        <v>1550</v>
      </c>
      <c r="D282" s="154" t="s">
        <v>423</v>
      </c>
      <c r="E282" s="155" t="str" cm="1">
        <f t="array" aca="1" ref="E282" ca="1">IF(C282="", INDIRECT("'"&amp;A282&amp;"'!B3"), INDEX(INDIRECT("'"&amp;A282&amp;"'!5:5"), COLUMN(INDIRECT("'"&amp;A282&amp;"'!"&amp;C282))))</f>
        <v>Group Reporting - Group Entities Reporting on Ongoing Monitoring</v>
      </c>
      <c r="F282" s="155" cm="1">
        <f t="array" aca="1" ref="F282" ca="1">IF(C282="", "", INDEX(INDIRECT("'"&amp;A282&amp;"'!3:3"), COLUMN(INDIRECT("'"&amp;A282&amp;"'!"&amp;C282))))</f>
        <v>0</v>
      </c>
      <c r="G282" s="154" t="str" cm="1">
        <f t="array" aca="1" ref="G282" ca="1">IF(C282="", "", INDEX(INDIRECT("'"&amp;A282&amp;"'!8:8"), COLUMN(INDIRECT("'"&amp;A282&amp;"'!"&amp;C282))))</f>
        <v>Percentage</v>
      </c>
      <c r="H282" s="154" t="str" cm="1">
        <f t="array" aca="1" ref="H282" ca="1">IF(C282="","",T(INDIRECT("'"&amp;A282&amp;"'!"&amp;ADDRESS(7, COLUMN(INDIRECT("'"&amp;A282&amp;"'!"&amp;C282))))))</f>
        <v>Flow</v>
      </c>
      <c r="I282" s="154" t="str" cm="1">
        <f t="array" aca="1" ref="I282" ca="1">IF(C282="","",T(INDIRECT("'"&amp;A282&amp;"'!"&amp;ADDRESS(9, COLUMN(INDIRECT("'"&amp;A282&amp;"'!"&amp;C282))))))</f>
        <v/>
      </c>
      <c r="J282" t="s">
        <v>1753</v>
      </c>
      <c r="K282" t="s">
        <v>1755</v>
      </c>
    </row>
    <row r="283" spans="1:12" ht="15" customHeight="1">
      <c r="A283" s="154" t="s">
        <v>421</v>
      </c>
      <c r="B283" s="154" t="s">
        <v>83</v>
      </c>
      <c r="C283" t="s">
        <v>1551</v>
      </c>
      <c r="D283" s="154" t="s">
        <v>423</v>
      </c>
      <c r="E283" s="155" t="str" cm="1">
        <f t="array" aca="1" ref="E283" ca="1">IF(C283="", INDIRECT("'"&amp;A283&amp;"'!B3"), INDEX(INDIRECT("'"&amp;A283&amp;"'!5:5"), COLUMN(INDIRECT("'"&amp;A283&amp;"'!"&amp;C283))))</f>
        <v>Group Reporting - Group Entities Reporting on STRs</v>
      </c>
      <c r="F283" s="155" cm="1">
        <f t="array" aca="1" ref="F283" ca="1">IF(C283="", "", INDEX(INDIRECT("'"&amp;A283&amp;"'!3:3"), COLUMN(INDIRECT("'"&amp;A283&amp;"'!"&amp;C283))))</f>
        <v>0</v>
      </c>
      <c r="G283" s="154" t="str" cm="1">
        <f t="array" aca="1" ref="G283" ca="1">IF(C283="", "", INDEX(INDIRECT("'"&amp;A283&amp;"'!8:8"), COLUMN(INDIRECT("'"&amp;A283&amp;"'!"&amp;C283))))</f>
        <v>Percentage</v>
      </c>
      <c r="H283" s="154" t="str" cm="1">
        <f t="array" aca="1" ref="H283" ca="1">IF(C283="","",T(INDIRECT("'"&amp;A283&amp;"'!"&amp;ADDRESS(7, COLUMN(INDIRECT("'"&amp;A283&amp;"'!"&amp;C283))))))</f>
        <v>Flow</v>
      </c>
      <c r="I283" s="154" t="str" cm="1">
        <f t="array" aca="1" ref="I283" ca="1">IF(C283="","",T(INDIRECT("'"&amp;A283&amp;"'!"&amp;ADDRESS(9, COLUMN(INDIRECT("'"&amp;A283&amp;"'!"&amp;C283))))))</f>
        <v/>
      </c>
      <c r="J283" t="s">
        <v>1753</v>
      </c>
      <c r="K283" t="s">
        <v>1756</v>
      </c>
    </row>
    <row r="284" spans="1:12" ht="15" customHeight="1">
      <c r="A284" s="154" t="s">
        <v>421</v>
      </c>
      <c r="B284" s="154" t="s">
        <v>84</v>
      </c>
      <c r="C284" t="s">
        <v>1552</v>
      </c>
      <c r="D284" s="154" t="s">
        <v>423</v>
      </c>
      <c r="E284" s="155" t="str" cm="1">
        <f t="array" aca="1" ref="E284" ca="1">IF(C284="", INDIRECT("'"&amp;A284&amp;"'!B3"), INDEX(INDIRECT("'"&amp;A284&amp;"'!5:5"), COLUMN(INDIRECT("'"&amp;A284&amp;"'!"&amp;C284))))</f>
        <v>Group Reporting - Group Entities Reporting on Identity and Transaction-level Information on High-risk Customers</v>
      </c>
      <c r="F284" s="155" cm="1">
        <f t="array" aca="1" ref="F284" ca="1">IF(C284="", "", INDEX(INDIRECT("'"&amp;A284&amp;"'!3:3"), COLUMN(INDIRECT("'"&amp;A284&amp;"'!"&amp;C284))))</f>
        <v>0</v>
      </c>
      <c r="G284" s="154" t="str" cm="1">
        <f t="array" aca="1" ref="G284" ca="1">IF(C284="", "", INDEX(INDIRECT("'"&amp;A284&amp;"'!8:8"), COLUMN(INDIRECT("'"&amp;A284&amp;"'!"&amp;C284))))</f>
        <v>Percentage</v>
      </c>
      <c r="H284" s="154" t="str" cm="1">
        <f t="array" aca="1" ref="H284" ca="1">IF(C284="","",T(INDIRECT("'"&amp;A284&amp;"'!"&amp;ADDRESS(7, COLUMN(INDIRECT("'"&amp;A284&amp;"'!"&amp;C284))))))</f>
        <v>Flow</v>
      </c>
      <c r="I284" s="154" t="str" cm="1">
        <f t="array" aca="1" ref="I284" ca="1">IF(C284="","",T(INDIRECT("'"&amp;A284&amp;"'!"&amp;ADDRESS(9, COLUMN(INDIRECT("'"&amp;A284&amp;"'!"&amp;C284))))))</f>
        <v/>
      </c>
      <c r="J284" t="s">
        <v>1753</v>
      </c>
      <c r="K284" t="s">
        <v>1757</v>
      </c>
    </row>
    <row r="285" spans="1:12" ht="15" customHeight="1">
      <c r="A285" s="154" t="s">
        <v>421</v>
      </c>
      <c r="B285" s="154" t="s">
        <v>85</v>
      </c>
      <c r="C285" t="s">
        <v>1553</v>
      </c>
      <c r="D285" s="154" t="s">
        <v>423</v>
      </c>
      <c r="E285" s="155" t="str" cm="1">
        <f t="array" aca="1" ref="E285" ca="1">IF(C285="", INDIRECT("'"&amp;A285&amp;"'!B3"), INDEX(INDIRECT("'"&amp;A285&amp;"'!5:5"), COLUMN(INDIRECT("'"&amp;A285&amp;"'!"&amp;C285))))</f>
        <v>Group Reporting - Group Entities Reporting on Deficiencies</v>
      </c>
      <c r="F285" s="155" cm="1">
        <f t="array" aca="1" ref="F285" ca="1">IF(C285="", "", INDEX(INDIRECT("'"&amp;A285&amp;"'!3:3"), COLUMN(INDIRECT("'"&amp;A285&amp;"'!"&amp;C285))))</f>
        <v>0</v>
      </c>
      <c r="G285" s="154" t="str" cm="1">
        <f t="array" aca="1" ref="G285" ca="1">IF(C285="", "", INDEX(INDIRECT("'"&amp;A285&amp;"'!8:8"), COLUMN(INDIRECT("'"&amp;A285&amp;"'!"&amp;C285))))</f>
        <v>Percentage</v>
      </c>
      <c r="H285" s="154" t="str" cm="1">
        <f t="array" aca="1" ref="H285" ca="1">IF(C285="","",T(INDIRECT("'"&amp;A285&amp;"'!"&amp;ADDRESS(7, COLUMN(INDIRECT("'"&amp;A285&amp;"'!"&amp;C285))))))</f>
        <v>Flow</v>
      </c>
      <c r="I285" s="154" t="str" cm="1">
        <f t="array" aca="1" ref="I285" ca="1">IF(C285="","",T(INDIRECT("'"&amp;A285&amp;"'!"&amp;ADDRESS(9, COLUMN(INDIRECT("'"&amp;A285&amp;"'!"&amp;C285))))))</f>
        <v/>
      </c>
      <c r="J285" t="s">
        <v>1753</v>
      </c>
      <c r="K285" t="s">
        <v>1758</v>
      </c>
    </row>
    <row r="286" spans="1:12" ht="15" customHeight="1">
      <c r="A286" s="154" t="s">
        <v>421</v>
      </c>
      <c r="B286" s="154" t="s">
        <v>86</v>
      </c>
      <c r="C286" t="s">
        <v>1554</v>
      </c>
      <c r="D286" s="154" t="s">
        <v>423</v>
      </c>
      <c r="E286" s="155" t="str" cm="1">
        <f t="array" aca="1" ref="E286" ca="1">IF(C286="", INDIRECT("'"&amp;A286&amp;"'!B3"), INDEX(INDIRECT("'"&amp;A286&amp;"'!5:5"), COLUMN(INDIRECT("'"&amp;A286&amp;"'!"&amp;C286))))</f>
        <v>Group Reporting - Jurisdictions subject to Compliance Reviews</v>
      </c>
      <c r="F286" s="155" cm="1">
        <f t="array" aca="1" ref="F286" ca="1">IF(C286="", "", INDEX(INDIRECT("'"&amp;A286&amp;"'!3:3"), COLUMN(INDIRECT("'"&amp;A286&amp;"'!"&amp;C286))))</f>
        <v>0</v>
      </c>
      <c r="G286" s="154" t="str" cm="1">
        <f t="array" aca="1" ref="G286" ca="1">IF(C286="", "", INDEX(INDIRECT("'"&amp;A286&amp;"'!8:8"), COLUMN(INDIRECT("'"&amp;A286&amp;"'!"&amp;C286))))</f>
        <v>Percentage</v>
      </c>
      <c r="H286" s="154" t="str" cm="1">
        <f t="array" aca="1" ref="H286" ca="1">IF(C286="","",T(INDIRECT("'"&amp;A286&amp;"'!"&amp;ADDRESS(7, COLUMN(INDIRECT("'"&amp;A286&amp;"'!"&amp;C286))))))</f>
        <v>Flow</v>
      </c>
      <c r="I286" s="154" t="str" cm="1">
        <f t="array" aca="1" ref="I286" ca="1">IF(C286="","",T(INDIRECT("'"&amp;A286&amp;"'!"&amp;ADDRESS(9, COLUMN(INDIRECT("'"&amp;A286&amp;"'!"&amp;C286))))))</f>
        <v/>
      </c>
      <c r="J286" t="s">
        <v>1759</v>
      </c>
      <c r="K286" t="s">
        <v>1760</v>
      </c>
    </row>
    <row r="287" spans="1:12" ht="15" customHeight="1">
      <c r="A287" s="154" t="s">
        <v>421</v>
      </c>
      <c r="B287" s="154" t="s">
        <v>87</v>
      </c>
      <c r="C287" t="s">
        <v>1555</v>
      </c>
      <c r="D287" s="154" t="s">
        <v>423</v>
      </c>
      <c r="E287" s="155" t="str" cm="1">
        <f t="array" aca="1" ref="E287" ca="1">IF(C287="", INDIRECT("'"&amp;A287&amp;"'!B3"), INDEX(INDIRECT("'"&amp;A287&amp;"'!5:5"), COLUMN(INDIRECT("'"&amp;A287&amp;"'!"&amp;C287))))</f>
        <v>Group Entities with Deficiencies (within EU/EEA)</v>
      </c>
      <c r="F287" s="155" cm="1">
        <f t="array" aca="1" ref="F287" ca="1">IF(C287="", "", INDEX(INDIRECT("'"&amp;A287&amp;"'!3:3"), COLUMN(INDIRECT("'"&amp;A287&amp;"'!"&amp;C287))))</f>
        <v>0</v>
      </c>
      <c r="G287" s="154" t="str" cm="1">
        <f t="array" aca="1" ref="G287" ca="1">IF(C287="", "", INDEX(INDIRECT("'"&amp;A287&amp;"'!8:8"), COLUMN(INDIRECT("'"&amp;A287&amp;"'!"&amp;C287))))</f>
        <v>Integer</v>
      </c>
      <c r="H287" s="154" t="str" cm="1">
        <f t="array" aca="1" ref="H287" ca="1">IF(C287="","",T(INDIRECT("'"&amp;A287&amp;"'!"&amp;ADDRESS(7, COLUMN(INDIRECT("'"&amp;A287&amp;"'!"&amp;C287))))))</f>
        <v>Flow</v>
      </c>
      <c r="I287" s="154" t="str" cm="1">
        <f t="array" aca="1" ref="I287" ca="1">IF(C287="","",T(INDIRECT("'"&amp;A287&amp;"'!"&amp;ADDRESS(9, COLUMN(INDIRECT("'"&amp;A287&amp;"'!"&amp;C287))))))</f>
        <v/>
      </c>
      <c r="J287" t="s">
        <v>1761</v>
      </c>
      <c r="K287" t="s">
        <v>1762</v>
      </c>
      <c r="L287" t="s">
        <v>1763</v>
      </c>
    </row>
    <row r="288" spans="1:12" ht="15" customHeight="1">
      <c r="A288" s="154" t="s">
        <v>421</v>
      </c>
      <c r="B288" s="154" t="s">
        <v>88</v>
      </c>
      <c r="C288" t="s">
        <v>1556</v>
      </c>
      <c r="D288" s="154" t="s">
        <v>423</v>
      </c>
      <c r="E288" s="155" t="str" cm="1">
        <f t="array" aca="1" ref="E288" ca="1">IF(C288="", INDIRECT("'"&amp;A288&amp;"'!B3"), INDEX(INDIRECT("'"&amp;A288&amp;"'!5:5"), COLUMN(INDIRECT("'"&amp;A288&amp;"'!"&amp;C288))))</f>
        <v>Group Entities with Deficiencies (outside EU/EEA)</v>
      </c>
      <c r="F288" s="155" cm="1">
        <f t="array" aca="1" ref="F288" ca="1">IF(C288="", "", INDEX(INDIRECT("'"&amp;A288&amp;"'!3:3"), COLUMN(INDIRECT("'"&amp;A288&amp;"'!"&amp;C288))))</f>
        <v>0</v>
      </c>
      <c r="G288" s="154" t="str" cm="1">
        <f t="array" aca="1" ref="G288" ca="1">IF(C288="", "", INDEX(INDIRECT("'"&amp;A288&amp;"'!8:8"), COLUMN(INDIRECT("'"&amp;A288&amp;"'!"&amp;C288))))</f>
        <v>Integer</v>
      </c>
      <c r="H288" s="154" t="str" cm="1">
        <f t="array" aca="1" ref="H288" ca="1">IF(C288="","",T(INDIRECT("'"&amp;A288&amp;"'!"&amp;ADDRESS(7, COLUMN(INDIRECT("'"&amp;A288&amp;"'!"&amp;C288))))))</f>
        <v>Flow</v>
      </c>
      <c r="I288" s="154" t="str" cm="1">
        <f t="array" aca="1" ref="I288" ca="1">IF(C288="","",T(INDIRECT("'"&amp;A288&amp;"'!"&amp;ADDRESS(9, COLUMN(INDIRECT("'"&amp;A288&amp;"'!"&amp;C288))))))</f>
        <v/>
      </c>
      <c r="J288" t="s">
        <v>1761</v>
      </c>
      <c r="K288" t="s">
        <v>1762</v>
      </c>
      <c r="L288" t="s">
        <v>1764</v>
      </c>
    </row>
  </sheetData>
  <sheetProtection algorithmName="SHA-512" hashValue="wgCtDg2p75NgFY1+S1QEm+Fj8/oFZvp5lnogllokc+okfNkiGcrHT8BeSx1zLBxv5siIeCTgDUARW+edwDBsGQ==" saltValue="FH9NAyJI3g4ravgodyuQgw==" spinCount="100000" sheet="1" objects="1" scenarios="1"/>
  <autoFilter ref="A1:P288" xr:uid="{5CA9665F-1BB8-470F-8473-9AB8F96C1420}"/>
  <pageMargins left="0.7" right="0.7" top="0.75" bottom="0.75" header="0.3" footer="0.3"/>
  <headerFooter>
    <oddHeader>&amp;L&amp;"Aptos"&amp;12&amp;K000000 EBA Regular Use&amp;1#_x000D_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C966-ECC9-459B-BE55-60355E7C4DD6}">
  <sheetPr codeName="Sheet7">
    <tabColor theme="1"/>
  </sheetPr>
  <dimension ref="A1:K601"/>
  <sheetViews>
    <sheetView zoomScaleNormal="100" workbookViewId="0">
      <selection activeCell="G6" sqref="G6"/>
    </sheetView>
  </sheetViews>
  <sheetFormatPr defaultColWidth="9.140625" defaultRowHeight="15"/>
  <cols>
    <col min="1" max="1" width="44.85546875" style="57" customWidth="1"/>
    <col min="2" max="2" width="15.85546875" style="57" customWidth="1"/>
    <col min="3" max="4" width="9.140625" style="57" customWidth="1"/>
    <col min="5" max="5" width="64.5703125" style="57" customWidth="1"/>
    <col min="6" max="6" width="26.140625" style="57" customWidth="1"/>
    <col min="7" max="7" width="9.140625" style="57" customWidth="1"/>
    <col min="8" max="8" width="48.28515625" style="57" customWidth="1"/>
    <col min="9" max="9" width="40.7109375" style="57" customWidth="1"/>
    <col min="10" max="10" width="86.7109375" style="57" customWidth="1"/>
    <col min="11" max="11" width="46.5703125" style="57" customWidth="1"/>
    <col min="12" max="16384" width="9.140625" style="57"/>
  </cols>
  <sheetData>
    <row r="1" spans="1:11">
      <c r="A1" s="156" t="s">
        <v>1765</v>
      </c>
      <c r="B1" s="157" t="s">
        <v>1766</v>
      </c>
      <c r="C1" s="157" t="s">
        <v>1535</v>
      </c>
      <c r="D1" s="157" t="s">
        <v>1536</v>
      </c>
      <c r="E1" s="157" t="s">
        <v>1537</v>
      </c>
      <c r="F1" s="157" t="s">
        <v>1539</v>
      </c>
      <c r="G1" s="157" t="s">
        <v>1767</v>
      </c>
      <c r="H1" s="158" t="s">
        <v>1768</v>
      </c>
      <c r="I1" s="157" t="s">
        <v>1769</v>
      </c>
      <c r="J1" s="157" t="s">
        <v>1770</v>
      </c>
      <c r="K1" s="157" t="s">
        <v>1771</v>
      </c>
    </row>
    <row r="2" spans="1:11">
      <c r="A2" s="159" t="str">
        <f>"AMLA_VR_" &amp; B2 &amp; "_" &amp; C2 &amp; "_" &amp; TEXT(COUNTIFS($B$2:B2, B2, $C$2:C2, C2), "00")</f>
        <v>AMLA_VR_AML.01.01_C0010_01</v>
      </c>
      <c r="B2" s="160" t="s">
        <v>44</v>
      </c>
      <c r="C2" s="160" t="s">
        <v>81</v>
      </c>
      <c r="D2" s="160" t="s">
        <v>1549</v>
      </c>
      <c r="E2" s="160" t="str" cm="1">
        <f t="array" aca="1" ref="E2" ca="1">IF(C2="", INDIRECT("'"&amp;B2&amp;"'!B3"), INDEX(INDIRECT("'"&amp;B2&amp;"'!5:5"), COLUMN(INDIRECT("'"&amp;B2&amp;"'!"&amp;D2))))</f>
        <v>Legal Entity Identifier (LEI)</v>
      </c>
      <c r="F2" s="157" t="s">
        <v>1772</v>
      </c>
      <c r="G2" s="160" t="s">
        <v>1773</v>
      </c>
      <c r="H2" s="161" t="s">
        <v>1774</v>
      </c>
      <c r="I2" s="160" t="str">
        <f>IF(LEN(TRIM(SUBSTITUTE('AML.01.01'!$B$11&amp;"",CHAR(160),"")))=0,"OK",IF(OR(LEN(TRIM(SUBSTITUTE('AML.01.01'!$B$11&amp;"",CHAR(160),"")))&lt;&gt;20,
     MID('AML.01.01'!$B$11,5,2)&lt;&gt;"00"), $G2&amp;": "&amp;$H2, "OK"))</f>
        <v>OK</v>
      </c>
      <c r="J2" s="160" t="str">
        <f>IF(LEN(IF(VLOOKUP("AMLA_VR_AML.01.01_C0010_01",$A:$I,9,0)&lt;&gt;"OK",CHAR(10)&amp;VLOOKUP("AMLA_VR_AML.01.01_C0010_01",$A:$I,9,0),"")&amp;IF(VLOOKUP("AMLA_VR_AML.01.01_C0010_02",$A:$I,9,0)&lt;&gt;"OK",CHAR(10)&amp;VLOOKUP("AMLA_VR_AML.01.01_C0010_02",$A:$I,9,0),"")&amp;IF(VLOOKUP("AMLA_VR_AML.01.01_C0010_03",$A:$I,9,0)&lt;&gt;"OK",CHAR(10)&amp;VLOOKUP("AMLA_VR_AML.01.01_C0010_03",$A:$I,9,0),""))=0,"OK",MID(IF(VLOOKUP("AMLA_VR_AML.01.01_C0010_01",$A:$I,9,0)&lt;&gt;"OK",CHAR(10)&amp;VLOOKUP("AMLA_VR_AML.01.01_C0010_01",$A:$I,9,0),"")&amp;IF(VLOOKUP("AMLA_VR_AML.01.01_C0010_02",$A:$I,9,0)&lt;&gt;"OK",CHAR(10)&amp;VLOOKUP("AMLA_VR_AML.01.01_C0010_02",$A:$I,9,0),"")&amp;IF(VLOOKUP("AMLA_VR_AML.01.01_C0010_03",$A:$I,9,0)&lt;&gt;"OK",CHAR(10)&amp;VLOOKUP("AMLA_VR_AML.01.01_C0010_03",$A:$I,9,0),""),2,3000))</f>
        <v>ERROR: C0010 is mandatory</v>
      </c>
      <c r="K2" s="160" t="s">
        <v>1775</v>
      </c>
    </row>
    <row r="3" spans="1:11">
      <c r="A3" s="159" t="str">
        <f>"AMLA_VR_" &amp; B3 &amp; "_" &amp; C3 &amp; "_" &amp; TEXT(COUNTIFS($B$2:B3, B3, $C$2:C3, C3), "00")</f>
        <v>AMLA_VR_AML.01.01_C0010_02</v>
      </c>
      <c r="B3" s="160" t="s">
        <v>44</v>
      </c>
      <c r="C3" s="160" t="s">
        <v>81</v>
      </c>
      <c r="D3" s="160" t="s">
        <v>1549</v>
      </c>
      <c r="E3" s="160" t="str" cm="1">
        <f t="array" aca="1" ref="E3" ca="1">IF(C3="", INDIRECT("'"&amp;B3&amp;"'!B3"), INDEX(INDIRECT("'"&amp;B3&amp;"'!5:5"), COLUMN(INDIRECT("'"&amp;B3&amp;"'!"&amp;D3))))</f>
        <v>Legal Entity Identifier (LEI)</v>
      </c>
      <c r="F3" s="160" t="s">
        <v>1776</v>
      </c>
      <c r="G3" s="160" t="s">
        <v>1773</v>
      </c>
      <c r="H3" s="161" t="s">
        <v>1777</v>
      </c>
      <c r="I3" s="160" t="str">
        <f>IF(TRIM(SUBSTITUTE('AML.01.01'!$B$11&amp;"",CHAR(160),""))="","OK",IF(OR(LEN('AML.01.01'!$B$11)&gt;300,ISNUMBER(FIND(CHAR(9),'AML.01.01'!$B$11)),ISNUMBER(FIND(CHAR(10),'AML.01.01'!$B$11)),ISNUMBER(FIND(CHAR(13),'AML.01.01'!$B$11))),$G3&amp;": "&amp;$H3,"OK"))</f>
        <v>OK</v>
      </c>
      <c r="J3" s="160" t="str">
        <f>IF(LEN(IF(VLOOKUP("AMLA_VR_AML.01.01_C0010_01",$A:$I,9,0)&lt;&gt;"OK",CHAR(10)&amp;VLOOKUP("AMLA_VR_AML.01.01_C0010_01",$A:$I,9,0),"")&amp;IF(VLOOKUP("AMLA_VR_AML.01.01_C0010_02",$A:$I,9,0)&lt;&gt;"OK",CHAR(10)&amp;VLOOKUP("AMLA_VR_AML.01.01_C0010_02",$A:$I,9,0),"")&amp;IF(VLOOKUP("AMLA_VR_AML.01.01_C0010_03",$A:$I,9,0)&lt;&gt;"OK",CHAR(10)&amp;VLOOKUP("AMLA_VR_AML.01.01_C0010_03",$A:$I,9,0),""))=0,"OK",MID(IF(VLOOKUP("AMLA_VR_AML.01.01_C0010_01",$A:$I,9,0)&lt;&gt;"OK",CHAR(10)&amp;VLOOKUP("AMLA_VR_AML.01.01_C0010_01",$A:$I,9,0),"")&amp;IF(VLOOKUP("AMLA_VR_AML.01.01_C0010_02",$A:$I,9,0)&lt;&gt;"OK",CHAR(10)&amp;VLOOKUP("AMLA_VR_AML.01.01_C0010_02",$A:$I,9,0),"")&amp;IF(VLOOKUP("AMLA_VR_AML.01.01_C0010_03",$A:$I,9,0)&lt;&gt;"OK",CHAR(10)&amp;VLOOKUP("AMLA_VR_AML.01.01_C0010_03",$A:$I,9,0),""),2,3000))</f>
        <v>ERROR: C0010 is mandatory</v>
      </c>
      <c r="K3" s="160" t="s">
        <v>1775</v>
      </c>
    </row>
    <row r="4" spans="1:11">
      <c r="A4" s="159" t="str">
        <f>"AMLA_VR_" &amp; B4 &amp; "_" &amp; C4 &amp; "_" &amp; TEXT(COUNTIFS($B$2:B4, B4, $C$2:C4, C4), "00")</f>
        <v>AMLA_VR_AML.01.01_C0010_03</v>
      </c>
      <c r="B4" s="157" t="s">
        <v>44</v>
      </c>
      <c r="C4" s="157" t="s">
        <v>81</v>
      </c>
      <c r="D4" s="157" t="s">
        <v>1549</v>
      </c>
      <c r="E4" s="160" t="str" cm="1">
        <f t="array" aca="1" ref="E4" ca="1">IF(C4="", INDIRECT("'"&amp;B4&amp;"'!B3"), INDEX(INDIRECT("'"&amp;B4&amp;"'!5:5"), COLUMN(INDIRECT("'"&amp;B4&amp;"'!"&amp;D4))))</f>
        <v>Legal Entity Identifier (LEI)</v>
      </c>
      <c r="F4" s="157" t="s">
        <v>1778</v>
      </c>
      <c r="G4" s="157" t="s">
        <v>1773</v>
      </c>
      <c r="H4" s="158" t="s">
        <v>1779</v>
      </c>
      <c r="I4" s="157" t="str">
        <f>IF('AML.01.01'!$B$11="", $G4 &amp; ": " &amp; $H4, "OK")</f>
        <v>ERROR: C0010 is mandatory</v>
      </c>
      <c r="J4" s="160" t="str">
        <f>IF(LEN(IF(VLOOKUP("AMLA_VR_AML.01.01_C0010_01",$A:$I,9,0)&lt;&gt;"OK",CHAR(10)&amp;VLOOKUP("AMLA_VR_AML.01.01_C0010_01",$A:$I,9,0),"")&amp;IF(VLOOKUP("AMLA_VR_AML.01.01_C0010_02",$A:$I,9,0)&lt;&gt;"OK",CHAR(10)&amp;VLOOKUP("AMLA_VR_AML.01.01_C0010_02",$A:$I,9,0),"")&amp;IF(VLOOKUP("AMLA_VR_AML.01.01_C0010_03",$A:$I,9,0)&lt;&gt;"OK",CHAR(10)&amp;VLOOKUP("AMLA_VR_AML.01.01_C0010_03",$A:$I,9,0),""))=0,"OK",MID(IF(VLOOKUP("AMLA_VR_AML.01.01_C0010_01",$A:$I,9,0)&lt;&gt;"OK",CHAR(10)&amp;VLOOKUP("AMLA_VR_AML.01.01_C0010_01",$A:$I,9,0),"")&amp;IF(VLOOKUP("AMLA_VR_AML.01.01_C0010_02",$A:$I,9,0)&lt;&gt;"OK",CHAR(10)&amp;VLOOKUP("AMLA_VR_AML.01.01_C0010_02",$A:$I,9,0),"")&amp;IF(VLOOKUP("AMLA_VR_AML.01.01_C0010_03",$A:$I,9,0)&lt;&gt;"OK",CHAR(10)&amp;VLOOKUP("AMLA_VR_AML.01.01_C0010_03",$A:$I,9,0),""),2,3000))</f>
        <v>ERROR: C0010 is mandatory</v>
      </c>
      <c r="K4" s="157" t="s">
        <v>1775</v>
      </c>
    </row>
    <row r="5" spans="1:11">
      <c r="A5" s="159" t="str">
        <f>"AMLA_VR_" &amp; B5 &amp; "_" &amp; C5 &amp; "_" &amp; TEXT(COUNTIFS($B$2:B5, B5, $C$2:C5, C5), "00")</f>
        <v>AMLA_VR_AML.01.01_C0020_01</v>
      </c>
      <c r="B5" s="157" t="s">
        <v>44</v>
      </c>
      <c r="C5" s="157" t="s">
        <v>82</v>
      </c>
      <c r="D5" s="157" t="s">
        <v>1550</v>
      </c>
      <c r="E5" s="160" t="str" cm="1">
        <f t="array" aca="1" ref="E5" ca="1">IF(C5="", INDIRECT("'"&amp;B5&amp;"'!B3"), INDEX(INDIRECT("'"&amp;B5&amp;"'!5:5"), COLUMN(INDIRECT("'"&amp;B5&amp;"'!"&amp;D5))))</f>
        <v>National Code</v>
      </c>
      <c r="F5" s="157" t="s">
        <v>1776</v>
      </c>
      <c r="G5" s="157" t="s">
        <v>1773</v>
      </c>
      <c r="H5" s="158" t="s">
        <v>1777</v>
      </c>
      <c r="I5" s="157" t="str">
        <f>IF(TRIM(SUBSTITUTE('AML.01.01'!$C$11&amp;"",CHAR(160),""))="","OK",IF(OR(LEN('AML.01.01'!$C$11)&gt;300,ISNUMBER(FIND(CHAR(9),'AML.01.01'!$C$11)),ISNUMBER(FIND(CHAR(10),'AML.01.01'!$C$11)),ISNUMBER(FIND(CHAR(13),'AML.01.01'!$C$11))),$G5&amp;": "&amp;$H5,"OK"))</f>
        <v>OK</v>
      </c>
      <c r="J5" s="157" t="str">
        <f>IF(LEN(IF(VLOOKUP("AMLA_VR_AML.01.01_C0020_01",$A:$I,9,0)&lt;&gt;"OK",CHAR(10)&amp;VLOOKUP("AMLA_VR_AML.01.01_C0020_01",$A:$I,9,0),"")&amp;IF(VLOOKUP("AMLA_VR_AML.01.01_C0020_02",$A:$I,9,0)&lt;&gt;"OK",CHAR(10)&amp;VLOOKUP("AMLA_VR_AML.01.01_C0020_02",$A:$I,9,0),""))=0,"OK",MID(IF(VLOOKUP("AMLA_VR_AML.01.01_C0020_01",$A:$I,9,0)&lt;&gt;"OK",CHAR(10)&amp;VLOOKUP("AMLA_VR_AML.01.01_C0020_01",$A:$I,9,0),"")&amp;IF(VLOOKUP("AMLA_VR_AML.01.01_C0020_02",$A:$I,9,0)&lt;&gt;"OK",CHAR(10)&amp;VLOOKUP("AMLA_VR_AML.01.01_C0020_02",$A:$I,9,0),""),2,3000))</f>
        <v>ERROR: C0020 is mandatory</v>
      </c>
      <c r="K5" s="157" t="s">
        <v>1775</v>
      </c>
    </row>
    <row r="6" spans="1:11">
      <c r="A6" s="159" t="str">
        <f>"AMLA_VR_" &amp; B6 &amp; "_" &amp; C6 &amp; "_" &amp; TEXT(COUNTIFS($B$2:B6, B6, $C$2:C6, C6), "00")</f>
        <v>AMLA_VR_AML.01.01_C0020_02</v>
      </c>
      <c r="B6" s="157" t="s">
        <v>44</v>
      </c>
      <c r="C6" s="157" t="s">
        <v>82</v>
      </c>
      <c r="D6" s="157" t="s">
        <v>1550</v>
      </c>
      <c r="E6" s="160" t="str" cm="1">
        <f t="array" aca="1" ref="E6" ca="1">IF(C6="", INDIRECT("'"&amp;B6&amp;"'!B3"), INDEX(INDIRECT("'"&amp;B6&amp;"'!5:5"), COLUMN(INDIRECT("'"&amp;B6&amp;"'!"&amp;D6))))</f>
        <v>National Code</v>
      </c>
      <c r="F6" s="157" t="s">
        <v>1778</v>
      </c>
      <c r="G6" s="157" t="s">
        <v>1773</v>
      </c>
      <c r="H6" s="158" t="s">
        <v>1780</v>
      </c>
      <c r="I6" s="157" t="str">
        <f>IF('AML.01.01'!$C$11="", $G6 &amp; ": " &amp; $H6, "OK")</f>
        <v>ERROR: C0020 is mandatory</v>
      </c>
      <c r="J6" s="157" t="str">
        <f>IF(LEN(IF(VLOOKUP("AMLA_VR_AML.01.01_C0020_01",$A:$I,9,0)&lt;&gt;"OK",CHAR(10)&amp;VLOOKUP("AMLA_VR_AML.01.01_C0020_01",$A:$I,9,0),"")&amp;IF(VLOOKUP("AMLA_VR_AML.01.01_C0020_02",$A:$I,9,0)&lt;&gt;"OK",CHAR(10)&amp;VLOOKUP("AMLA_VR_AML.01.01_C0020_02",$A:$I,9,0),""))=0,"OK",MID(IF(VLOOKUP("AMLA_VR_AML.01.01_C0020_01",$A:$I,9,0)&lt;&gt;"OK",CHAR(10)&amp;VLOOKUP("AMLA_VR_AML.01.01_C0020_01",$A:$I,9,0),"")&amp;IF(VLOOKUP("AMLA_VR_AML.01.01_C0020_02",$A:$I,9,0)&lt;&gt;"OK",CHAR(10)&amp;VLOOKUP("AMLA_VR_AML.01.01_C0020_02",$A:$I,9,0),""),2,3000))</f>
        <v>ERROR: C0020 is mandatory</v>
      </c>
      <c r="K6" s="157" t="s">
        <v>1775</v>
      </c>
    </row>
    <row r="7" spans="1:11">
      <c r="A7" s="159" t="str">
        <f>"AMLA_VR_" &amp; B7 &amp; "_" &amp; C7 &amp; "_" &amp; TEXT(COUNTIFS($B$2:B7, B7, $C$2:C7, C7), "00")</f>
        <v>AMLA_VR_AML.01.01_C0030_01</v>
      </c>
      <c r="B7" s="160" t="s">
        <v>44</v>
      </c>
      <c r="C7" s="160" t="s">
        <v>83</v>
      </c>
      <c r="D7" s="160" t="s">
        <v>1551</v>
      </c>
      <c r="E7" s="160" t="str" cm="1">
        <f t="array" aca="1" ref="E7" ca="1">IF(C7="", INDIRECT("'"&amp;B7&amp;"'!B3"), INDEX(INDIRECT("'"&amp;B7&amp;"'!5:5"), COLUMN(INDIRECT("'"&amp;B7&amp;"'!"&amp;D7))))</f>
        <v>Legal Name</v>
      </c>
      <c r="F7" s="160" t="s">
        <v>1776</v>
      </c>
      <c r="G7" s="160" t="s">
        <v>1773</v>
      </c>
      <c r="H7" s="161" t="s">
        <v>1777</v>
      </c>
      <c r="I7" s="160" t="str">
        <f>IF(TRIM(SUBSTITUTE('AML.01.01'!$D$11&amp;"",CHAR(160),""))="","OK",IF(OR(LEN('AML.01.01'!$D$11)&gt;300,ISNUMBER(FIND(CHAR(9),'AML.01.01'!$D$11)),ISNUMBER(FIND(CHAR(10),'AML.01.01'!$D$11)),ISNUMBER(FIND(CHAR(13),'AML.01.01'!$D$11))),$G7&amp;": "&amp;$H7,"OK"))</f>
        <v>OK</v>
      </c>
      <c r="J7" s="160" t="str">
        <f>IF(LEN(IF(VLOOKUP("AMLA_VR_AML.01.01_C0030_01",$A:$I,9,0)&lt;&gt;"OK",CHAR(10)&amp;VLOOKUP("AMLA_VR_AML.01.01_C0030_01",$A:$I,9,0),"")&amp;IF(VLOOKUP("AMLA_VR_AML.01.01_C0030_02",$A:$I,9,0)&lt;&gt;"OK",CHAR(10)&amp;VLOOKUP("AMLA_VR_AML.01.01_C0030_02",$A:$I,9,0),""))=0,"OK",MID(IF(VLOOKUP("AMLA_VR_AML.01.01_C0030_01",$A:$I,9,0)&lt;&gt;"OK",CHAR(10)&amp;VLOOKUP("AMLA_VR_AML.01.01_C0030_01",$A:$I,9,0),"")&amp;IF(VLOOKUP("AMLA_VR_AML.01.01_C0030_02",$A:$I,9,0)&lt;&gt;"OK",CHAR(10)&amp;VLOOKUP("AMLA_VR_AML.01.01_C0030_02",$A:$I,9,0),""),2,3000))</f>
        <v>ERROR: C0030 is mandatory</v>
      </c>
      <c r="K7" s="160" t="s">
        <v>1775</v>
      </c>
    </row>
    <row r="8" spans="1:11">
      <c r="A8" s="159" t="str">
        <f>"AMLA_VR_" &amp; B8 &amp; "_" &amp; C8 &amp; "_" &amp; TEXT(COUNTIFS($B$2:B8, B8, $C$2:C8, C8), "00")</f>
        <v>AMLA_VR_AML.01.01_C0030_02</v>
      </c>
      <c r="B8" s="160" t="s">
        <v>44</v>
      </c>
      <c r="C8" s="160" t="s">
        <v>83</v>
      </c>
      <c r="D8" s="160" t="s">
        <v>1551</v>
      </c>
      <c r="E8" s="160" t="str" cm="1">
        <f t="array" aca="1" ref="E8" ca="1">IF(C8="", INDIRECT("'"&amp;B8&amp;"'!B3"), INDEX(INDIRECT("'"&amp;B8&amp;"'!5:5"), COLUMN(INDIRECT("'"&amp;B8&amp;"'!"&amp;D8))))</f>
        <v>Legal Name</v>
      </c>
      <c r="F8" s="160" t="s">
        <v>1778</v>
      </c>
      <c r="G8" s="160" t="s">
        <v>1773</v>
      </c>
      <c r="H8" s="161" t="s">
        <v>1781</v>
      </c>
      <c r="I8" s="160" t="str">
        <f>IF('AML.01.01'!$D$11="", $G8 &amp; ": " &amp; $H8, "OK")</f>
        <v>ERROR: C0030 is mandatory</v>
      </c>
      <c r="J8" s="160" t="str">
        <f>IF(LEN(IF(VLOOKUP("AMLA_VR_AML.01.01_C0030_01",$A:$I,9,0)&lt;&gt;"OK",CHAR(10)&amp;VLOOKUP("AMLA_VR_AML.01.01_C0030_01",$A:$I,9,0),"")&amp;IF(VLOOKUP("AMLA_VR_AML.01.01_C0030_02",$A:$I,9,0)&lt;&gt;"OK",CHAR(10)&amp;VLOOKUP("AMLA_VR_AML.01.01_C0030_02",$A:$I,9,0),""))=0,"OK",MID(IF(VLOOKUP("AMLA_VR_AML.01.01_C0030_01",$A:$I,9,0)&lt;&gt;"OK",CHAR(10)&amp;VLOOKUP("AMLA_VR_AML.01.01_C0030_01",$A:$I,9,0),"")&amp;IF(VLOOKUP("AMLA_VR_AML.01.01_C0030_02",$A:$I,9,0)&lt;&gt;"OK",CHAR(10)&amp;VLOOKUP("AMLA_VR_AML.01.01_C0030_02",$A:$I,9,0),""),2,3000))</f>
        <v>ERROR: C0030 is mandatory</v>
      </c>
      <c r="K8" s="160" t="s">
        <v>1775</v>
      </c>
    </row>
    <row r="9" spans="1:11">
      <c r="A9" s="159" t="str">
        <f>"AMLA_VR_" &amp; B9 &amp; "_" &amp; C9 &amp; "_" &amp; TEXT(COUNTIFS($B$2:B9, B9, $C$2:C9, C9), "00")</f>
        <v>AMLA_VR_AML.01.01_C0040_01</v>
      </c>
      <c r="B9" s="157" t="s">
        <v>44</v>
      </c>
      <c r="C9" s="157" t="s">
        <v>84</v>
      </c>
      <c r="D9" s="157" t="s">
        <v>1552</v>
      </c>
      <c r="E9" s="160" t="str" cm="1">
        <f t="array" aca="1" ref="E9" ca="1">IF(C9="", INDIRECT("'"&amp;B9&amp;"'!B3"), INDEX(INDIRECT("'"&amp;B9&amp;"'!5:5"), COLUMN(INDIRECT("'"&amp;B9&amp;"'!"&amp;D9))))</f>
        <v>English Name</v>
      </c>
      <c r="F9" s="157" t="s">
        <v>1776</v>
      </c>
      <c r="G9" s="157" t="s">
        <v>1773</v>
      </c>
      <c r="H9" s="158" t="s">
        <v>1777</v>
      </c>
      <c r="I9" s="157" t="str">
        <f>IF(TRIM(SUBSTITUTE('AML.01.01'!$E$11&amp;"",CHAR(160),""))="","OK",IF(OR(LEN('AML.01.01'!$E$11)&gt;300,ISNUMBER(FIND(CHAR(9),'AML.01.01'!$E$11)),ISNUMBER(FIND(CHAR(10),'AML.01.01'!$E$11)),ISNUMBER(FIND(CHAR(13),'AML.01.01'!$E$11))),$G9&amp;": "&amp;$H9,"OK"))</f>
        <v>OK</v>
      </c>
      <c r="J9" s="157" t="str">
        <f>IF(LEN(IF(VLOOKUP("AMLA_VR_AML.01.01_C0040_01",$A:$I,9,0)&lt;&gt;"OK",CHAR(10)&amp;VLOOKUP("AMLA_VR_AML.01.01_C0040_01",$A:$I,9,0),""))=0,"OK",MID(IF(VLOOKUP("AMLA_VR_AML.01.01_C0040_01",$A:$I,9,0)&lt;&gt;"OK",CHAR(10)&amp;VLOOKUP("AMLA_VR_AML.01.01_C0040_01",$A:$I,9,0),""),2,3000))</f>
        <v>OK</v>
      </c>
      <c r="K9" s="157" t="s">
        <v>1775</v>
      </c>
    </row>
    <row r="10" spans="1:11">
      <c r="A10" s="159" t="str">
        <f>"AMLA_VR_" &amp; B10 &amp; "_" &amp; C10 &amp; "_" &amp; TEXT(COUNTIFS($B$2:B10, B10, $C$2:C10, C10), "00")</f>
        <v>AMLA_VR_AML.01.01_C0050_01</v>
      </c>
      <c r="B10" s="160" t="s">
        <v>44</v>
      </c>
      <c r="C10" s="160" t="s">
        <v>85</v>
      </c>
      <c r="D10" s="160" t="s">
        <v>1553</v>
      </c>
      <c r="E10" s="160" t="str" cm="1">
        <f t="array" aca="1" ref="E10" ca="1">IF(C10="", INDIRECT("'"&amp;B10&amp;"'!B3"), INDEX(INDIRECT("'"&amp;B10&amp;"'!5:5"), COLUMN(INDIRECT("'"&amp;B10&amp;"'!"&amp;D10))))</f>
        <v>Type of Entity</v>
      </c>
      <c r="F10" s="160" t="s">
        <v>1776</v>
      </c>
      <c r="G10" s="160" t="s">
        <v>1773</v>
      </c>
      <c r="H10" s="161" t="s">
        <v>1782</v>
      </c>
      <c r="I10" s="160" t="str">
        <f ca="1">IF(TRIM(SUBSTITUTE('AML.01.01'!$F$11&amp;"",CHAR(160),""))="","OK",IF(COUNTIF(INDIRECT('AML.01.01'!$F$8),'AML.01.01'!$F$11)=0,$G10&amp;": "&amp;$H10,"OK"))</f>
        <v>OK</v>
      </c>
      <c r="J10" s="160" t="str">
        <f ca="1">IF(LEN(IF(VLOOKUP("AMLA_VR_AML.01.01_C0050_01",$A:$I,9,0)&lt;&gt;"OK",CHAR(10)&amp;VLOOKUP("AMLA_VR_AML.01.01_C0050_01",$A:$I,9,0),"")&amp;IF(VLOOKUP("AMLA_VR_AML.01.01_C0050_02",$A:$I,9,0)&lt;&gt;"OK",CHAR(10)&amp;VLOOKUP("AMLA_VR_AML.01.01_C0050_02",$A:$I,9,0),""))=0,"OK",MID(IF(VLOOKUP("AMLA_VR_AML.01.01_C0050_01",$A:$I,9,0)&lt;&gt;"OK",CHAR(10)&amp;VLOOKUP("AMLA_VR_AML.01.01_C0050_01",$A:$I,9,0),"")&amp;IF(VLOOKUP("AMLA_VR_AML.01.01_C0050_02",$A:$I,9,0)&lt;&gt;"OK",CHAR(10)&amp;VLOOKUP("AMLA_VR_AML.01.01_C0050_02",$A:$I,9,0),""),2,3000))</f>
        <v>ERROR: C0050 is mandatory</v>
      </c>
      <c r="K10" s="160" t="s">
        <v>1775</v>
      </c>
    </row>
    <row r="11" spans="1:11">
      <c r="A11" s="159" t="str">
        <f>"AMLA_VR_" &amp; B11 &amp; "_" &amp; C11 &amp; "_" &amp; TEXT(COUNTIFS($B$2:B11, B11, $C$2:C11, C11), "00")</f>
        <v>AMLA_VR_AML.01.01_C0050_02</v>
      </c>
      <c r="B11" s="157" t="s">
        <v>44</v>
      </c>
      <c r="C11" s="157" t="s">
        <v>85</v>
      </c>
      <c r="D11" s="157" t="s">
        <v>1553</v>
      </c>
      <c r="E11" s="160" t="str" cm="1">
        <f t="array" aca="1" ref="E11" ca="1">IF(C11="", INDIRECT("'"&amp;B11&amp;"'!B3"), INDEX(INDIRECT("'"&amp;B11&amp;"'!5:5"), COLUMN(INDIRECT("'"&amp;B11&amp;"'!"&amp;D11))))</f>
        <v>Type of Entity</v>
      </c>
      <c r="F11" s="157" t="s">
        <v>1778</v>
      </c>
      <c r="G11" s="157" t="s">
        <v>1773</v>
      </c>
      <c r="H11" s="158" t="s">
        <v>1783</v>
      </c>
      <c r="I11" s="157" t="str">
        <f>IF('AML.01.01'!$F$11="", $G11 &amp; ": " &amp; $H11, "OK")</f>
        <v>ERROR: C0050 is mandatory</v>
      </c>
      <c r="J11" s="157" t="str">
        <f ca="1">IF(LEN(IF(VLOOKUP("AMLA_VR_AML.01.01_C0050_01",$A:$I,9,0)&lt;&gt;"OK",CHAR(10)&amp;VLOOKUP("AMLA_VR_AML.01.01_C0050_01",$A:$I,9,0),"")&amp;IF(VLOOKUP("AMLA_VR_AML.01.01_C0050_02",$A:$I,9,0)&lt;&gt;"OK",CHAR(10)&amp;VLOOKUP("AMLA_VR_AML.01.01_C0050_02",$A:$I,9,0),""))=0,"OK",MID(IF(VLOOKUP("AMLA_VR_AML.01.01_C0050_01",$A:$I,9,0)&lt;&gt;"OK",CHAR(10)&amp;VLOOKUP("AMLA_VR_AML.01.01_C0050_01",$A:$I,9,0),"")&amp;IF(VLOOKUP("AMLA_VR_AML.01.01_C0050_02",$A:$I,9,0)&lt;&gt;"OK",CHAR(10)&amp;VLOOKUP("AMLA_VR_AML.01.01_C0050_02",$A:$I,9,0),""),2,3000))</f>
        <v>ERROR: C0050 is mandatory</v>
      </c>
      <c r="K11" s="157" t="s">
        <v>1775</v>
      </c>
    </row>
    <row r="12" spans="1:11">
      <c r="A12" s="159" t="str">
        <f>"AMLA_VR_" &amp; B12 &amp; "_" &amp; C12 &amp; "_" &amp; TEXT(COUNTIFS($B$2:B12, B12, $C$2:C12, C12), "00")</f>
        <v>AMLA_VR_AML.01.01_C0060_01</v>
      </c>
      <c r="B12" s="157" t="s">
        <v>44</v>
      </c>
      <c r="C12" s="157" t="s">
        <v>86</v>
      </c>
      <c r="D12" s="157" t="s">
        <v>1554</v>
      </c>
      <c r="E12" s="160" t="str" cm="1">
        <f t="array" aca="1" ref="E12" ca="1">IF(C12="", INDIRECT("'"&amp;B12&amp;"'!B3"), INDEX(INDIRECT("'"&amp;B12&amp;"'!5:5"), COLUMN(INDIRECT("'"&amp;B12&amp;"'!"&amp;D12))))</f>
        <v>Entity Type – Description for Other FI</v>
      </c>
      <c r="F12" s="157" t="s">
        <v>1776</v>
      </c>
      <c r="G12" s="157" t="s">
        <v>1773</v>
      </c>
      <c r="H12" s="158" t="s">
        <v>1782</v>
      </c>
      <c r="I12" s="157" t="str">
        <f>IF(TRIM(SUBSTITUTE('AML.01.01'!$G$11&amp;"",CHAR(160),""))="","OK",IF(OR(LEN('AML.01.01'!$G$11)&gt;300,ISNUMBER(FIND(CHAR(9),'AML.01.01'!$G$11)),ISNUMBER(FIND(CHAR(10),'AML.01.01'!$G$11)),ISNUMBER(FIND(CHAR(13),'AML.01.01'!$G$11))),$G12&amp;": "&amp;$H12,"OK"))</f>
        <v>OK</v>
      </c>
      <c r="J12" s="157" t="str">
        <f>IF(LEN(IF(VLOOKUP("AMLA_VR_AML.01.01_C0060_01",$A:$I,9,0)&lt;&gt;"OK",CHAR(10)&amp;VLOOKUP("AMLA_VR_AML.01.01_C0060_01",$A:$I,9,0),"")&amp;IF(VLOOKUP("AMLA_VR_AML.01.01_C0060_02",$A:$I,9,0)&lt;&gt;"OK",CHAR(10)&amp;VLOOKUP("AMLA_VR_AML.01.01_C0060_02",$A:$I,9,0),""))=0,"OK",MID(IF(VLOOKUP("AMLA_VR_AML.01.01_C0060_01",$A:$I,9,0)&lt;&gt;"OK",CHAR(10)&amp;VLOOKUP("AMLA_VR_AML.01.01_C0060_01",$A:$I,9,0),"")&amp;IF(VLOOKUP("AMLA_VR_AML.01.01_C0060_02",$A:$I,9,0)&lt;&gt;"OK",CHAR(10)&amp;VLOOKUP("AMLA_VR_AML.01.01_C0060_02",$A:$I,9,0),""),2,3000))</f>
        <v>ERROR: C0060 is mandatory</v>
      </c>
      <c r="K12" s="157" t="s">
        <v>1775</v>
      </c>
    </row>
    <row r="13" spans="1:11">
      <c r="A13" s="159" t="str">
        <f>"AMLA_VR_" &amp; B13 &amp; "_" &amp; C13 &amp; "_" &amp; TEXT(COUNTIFS($B$2:B13, B13, $C$2:C13, C13), "00")</f>
        <v>AMLA_VR_AML.01.01_C0060_02</v>
      </c>
      <c r="B13" s="160" t="s">
        <v>44</v>
      </c>
      <c r="C13" s="160" t="s">
        <v>86</v>
      </c>
      <c r="D13" s="160" t="s">
        <v>1554</v>
      </c>
      <c r="E13" s="160" t="str" cm="1">
        <f t="array" aca="1" ref="E13" ca="1">IF(C13="", INDIRECT("'"&amp;B13&amp;"'!B3"), INDEX(INDIRECT("'"&amp;B13&amp;"'!5:5"), COLUMN(INDIRECT("'"&amp;B13&amp;"'!"&amp;D13))))</f>
        <v>Entity Type – Description for Other FI</v>
      </c>
      <c r="F13" s="160" t="s">
        <v>1778</v>
      </c>
      <c r="G13" s="160" t="s">
        <v>1773</v>
      </c>
      <c r="H13" s="161" t="s">
        <v>1784</v>
      </c>
      <c r="I13" s="160" t="str">
        <f>IF('AML.01.01'!$G$11="", $G13 &amp; ": " &amp; $H13, "OK")</f>
        <v>ERROR: C0060 is mandatory</v>
      </c>
      <c r="J13" s="160" t="str">
        <f>IF(LEN(IF(VLOOKUP("AMLA_VR_AML.01.01_C0060_01",$A:$I,9,0)&lt;&gt;"OK",CHAR(10)&amp;VLOOKUP("AMLA_VR_AML.01.01_C0060_01",$A:$I,9,0),"")&amp;IF(VLOOKUP("AMLA_VR_AML.01.01_C0060_02",$A:$I,9,0)&lt;&gt;"OK",CHAR(10)&amp;VLOOKUP("AMLA_VR_AML.01.01_C0060_02",$A:$I,9,0),""))=0,"OK",MID(IF(VLOOKUP("AMLA_VR_AML.01.01_C0060_01",$A:$I,9,0)&lt;&gt;"OK",CHAR(10)&amp;VLOOKUP("AMLA_VR_AML.01.01_C0060_01",$A:$I,9,0),"")&amp;IF(VLOOKUP("AMLA_VR_AML.01.01_C0060_02",$A:$I,9,0)&lt;&gt;"OK",CHAR(10)&amp;VLOOKUP("AMLA_VR_AML.01.01_C0060_02",$A:$I,9,0),""),2,3000))</f>
        <v>ERROR: C0060 is mandatory</v>
      </c>
      <c r="K13" s="160" t="s">
        <v>1775</v>
      </c>
    </row>
    <row r="14" spans="1:11">
      <c r="A14" s="159" t="str">
        <f>"AMLA_VR_" &amp; B14 &amp; "_" &amp; C14 &amp; "_" &amp; TEXT(COUNTIFS($B$2:B14, B14, $C$2:C14, C14), "00")</f>
        <v>AMLA_VR_AML.01.01_C0070_01</v>
      </c>
      <c r="B14" s="160" t="s">
        <v>44</v>
      </c>
      <c r="C14" s="160" t="s">
        <v>87</v>
      </c>
      <c r="D14" s="160" t="s">
        <v>1555</v>
      </c>
      <c r="E14" s="160" t="str" cm="1">
        <f t="array" aca="1" ref="E14" ca="1">IF(C14="", INDIRECT("'"&amp;B14&amp;"'!B3"), INDEX(INDIRECT("'"&amp;B14&amp;"'!5:5"), COLUMN(INDIRECT("'"&amp;B14&amp;"'!"&amp;D14))))</f>
        <v>Country of Establishment</v>
      </c>
      <c r="F14" s="160" t="s">
        <v>1776</v>
      </c>
      <c r="G14" s="160" t="s">
        <v>1773</v>
      </c>
      <c r="H14" s="158" t="s">
        <v>1777</v>
      </c>
      <c r="I14" s="160" t="str">
        <f ca="1">IF(TRIM(SUBSTITUTE('AML.01.01'!$H$11&amp;"",CHAR(160),""))="","OK",IF(COUNTIF(INDIRECT('AML.01.01'!$H$8),'AML.01.01'!$H$11)=0,$G14&amp;": "&amp;$H14,"OK"))</f>
        <v>OK</v>
      </c>
      <c r="J14" s="160" t="str">
        <f ca="1">IF(LEN(IF(VLOOKUP("AMLA_VR_AML.01.01_C0070_01",$A:$I,9,0)&lt;&gt;"OK",CHAR(10)&amp;VLOOKUP("AMLA_VR_AML.01.01_C0070_01",$A:$I,9,0),"")&amp;IF(VLOOKUP("AMLA_VR_AML.01.01_C0070_02",$A:$I,9,0)&lt;&gt;"OK",CHAR(10)&amp;VLOOKUP("AMLA_VR_AML.01.01_C0070_02",$A:$I,9,0),""))=0,"OK",MID(IF(VLOOKUP("AMLA_VR_AML.01.01_C0070_01",$A:$I,9,0)&lt;&gt;"OK",CHAR(10)&amp;VLOOKUP("AMLA_VR_AML.01.01_C0070_01",$A:$I,9,0),"")&amp;IF(VLOOKUP("AMLA_VR_AML.01.01_C0070_02",$A:$I,9,0)&lt;&gt;"OK",CHAR(10)&amp;VLOOKUP("AMLA_VR_AML.01.01_C0070_02",$A:$I,9,0),""),2,3000))</f>
        <v>ERROR: C0070 is mandatory</v>
      </c>
      <c r="K14" s="160" t="s">
        <v>1775</v>
      </c>
    </row>
    <row r="15" spans="1:11">
      <c r="A15" s="159" t="str">
        <f>"AMLA_VR_" &amp; B15 &amp; "_" &amp; C15 &amp; "_" &amp; TEXT(COUNTIFS($B$2:B15, B15, $C$2:C15, C15), "00")</f>
        <v>AMLA_VR_AML.01.01_C0070_02</v>
      </c>
      <c r="B15" s="157" t="s">
        <v>44</v>
      </c>
      <c r="C15" s="157" t="s">
        <v>87</v>
      </c>
      <c r="D15" s="157" t="s">
        <v>1555</v>
      </c>
      <c r="E15" s="160" t="str" cm="1">
        <f t="array" aca="1" ref="E15" ca="1">IF(C15="", INDIRECT("'"&amp;B15&amp;"'!B3"), INDEX(INDIRECT("'"&amp;B15&amp;"'!5:5"), COLUMN(INDIRECT("'"&amp;B15&amp;"'!"&amp;D15))))</f>
        <v>Country of Establishment</v>
      </c>
      <c r="F15" s="157" t="s">
        <v>1778</v>
      </c>
      <c r="G15" s="157" t="s">
        <v>1773</v>
      </c>
      <c r="H15" s="158" t="s">
        <v>1785</v>
      </c>
      <c r="I15" s="157" t="str">
        <f>IF('AML.01.01'!$H$11="", $G15 &amp; ": " &amp; $H15, "OK")</f>
        <v>ERROR: C0070 is mandatory</v>
      </c>
      <c r="J15" s="157" t="str">
        <f ca="1">IF(LEN(IF(VLOOKUP("AMLA_VR_AML.01.01_C0070_01",$A:$I,9,0)&lt;&gt;"OK",CHAR(10)&amp;VLOOKUP("AMLA_VR_AML.01.01_C0070_01",$A:$I,9,0),"")&amp;IF(VLOOKUP("AMLA_VR_AML.01.01_C0070_02",$A:$I,9,0)&lt;&gt;"OK",CHAR(10)&amp;VLOOKUP("AMLA_VR_AML.01.01_C0070_02",$A:$I,9,0),""))=0,"OK",MID(IF(VLOOKUP("AMLA_VR_AML.01.01_C0070_01",$A:$I,9,0)&lt;&gt;"OK",CHAR(10)&amp;VLOOKUP("AMLA_VR_AML.01.01_C0070_01",$A:$I,9,0),"")&amp;IF(VLOOKUP("AMLA_VR_AML.01.01_C0070_02",$A:$I,9,0)&lt;&gt;"OK",CHAR(10)&amp;VLOOKUP("AMLA_VR_AML.01.01_C0070_02",$A:$I,9,0),""),2,3000))</f>
        <v>ERROR: C0070 is mandatory</v>
      </c>
      <c r="K15" s="157" t="s">
        <v>1775</v>
      </c>
    </row>
    <row r="16" spans="1:11">
      <c r="A16" s="159" t="str">
        <f>"AMLA_VR_" &amp; B16 &amp; "_" &amp; C16 &amp; "_" &amp; TEXT(COUNTIFS($B$2:B16, B16, $C$2:C16, C16), "00")</f>
        <v>AMLA_VR_AML.01.01_C0080_01</v>
      </c>
      <c r="B16" s="157" t="s">
        <v>44</v>
      </c>
      <c r="C16" s="157" t="s">
        <v>88</v>
      </c>
      <c r="D16" s="157" t="s">
        <v>1556</v>
      </c>
      <c r="E16" s="160" t="str" cm="1">
        <f t="array" aca="1" ref="E16" ca="1">IF(C16="", INDIRECT("'"&amp;B16&amp;"'!B3"), INDEX(INDIRECT("'"&amp;B16&amp;"'!5:5"), COLUMN(INDIRECT("'"&amp;B16&amp;"'!"&amp;D16))))</f>
        <v>Currency of reporting</v>
      </c>
      <c r="F16" s="157" t="s">
        <v>1776</v>
      </c>
      <c r="G16" s="157" t="s">
        <v>1773</v>
      </c>
      <c r="H16" s="158" t="s">
        <v>1782</v>
      </c>
      <c r="I16" s="160" t="str">
        <f ca="1">IF(TRIM(SUBSTITUTE('AML.01.01'!$I$11&amp;"",CHAR(160),""))="","OK",IF(COUNTIF(INDIRECT('AML.01.01'!$I$8),'AML.01.01'!$I$11)=0,$G16&amp;": "&amp;$H16,"OK"))</f>
        <v>OK</v>
      </c>
      <c r="J16" s="157" t="str">
        <f ca="1">IF(LEN(IF(VLOOKUP("AMLA_VR_AML.01.01_C0080_01",$A:$I,9,0)&lt;&gt;"OK",CHAR(10)&amp;VLOOKUP("AMLA_VR_AML.01.01_C0080_01",$A:$I,9,0),"")&amp;IF(VLOOKUP("AMLA_VR_AML.01.01_C0080_02",$A:$I,9,0)&lt;&gt;"OK",CHAR(10)&amp;VLOOKUP("AMLA_VR_AML.01.01_C0080_02",$A:$I,9,0),""))=0,"OK",MID(IF(VLOOKUP("AMLA_VR_AML.01.01_C0080_01",$A:$I,9,0)&lt;&gt;"OK",CHAR(10)&amp;VLOOKUP("AMLA_VR_AML.01.01_C0080_01",$A:$I,9,0),"")&amp;IF(VLOOKUP("AMLA_VR_AML.01.01_C0080_02",$A:$I,9,0)&lt;&gt;"OK",CHAR(10)&amp;VLOOKUP("AMLA_VR_AML.01.01_C0080_02",$A:$I,9,0),""),2,3000))</f>
        <v>ERROR: C0080 is mandatory</v>
      </c>
      <c r="K16" s="157" t="s">
        <v>1775</v>
      </c>
    </row>
    <row r="17" spans="1:11">
      <c r="A17" s="159" t="str">
        <f>"AMLA_VR_" &amp; B17 &amp; "_" &amp; C17 &amp; "_" &amp; TEXT(COUNTIFS($B$2:B17, B17, $C$2:C17, C17), "00")</f>
        <v>AMLA_VR_AML.01.01_C0080_02</v>
      </c>
      <c r="B17" s="160" t="s">
        <v>44</v>
      </c>
      <c r="C17" s="160" t="s">
        <v>88</v>
      </c>
      <c r="D17" s="160" t="s">
        <v>1556</v>
      </c>
      <c r="E17" s="160" t="str" cm="1">
        <f t="array" aca="1" ref="E17" ca="1">IF(C17="", INDIRECT("'"&amp;B17&amp;"'!B3"), INDEX(INDIRECT("'"&amp;B17&amp;"'!5:5"), COLUMN(INDIRECT("'"&amp;B17&amp;"'!"&amp;D17))))</f>
        <v>Currency of reporting</v>
      </c>
      <c r="F17" s="160" t="s">
        <v>1778</v>
      </c>
      <c r="G17" s="160" t="s">
        <v>1773</v>
      </c>
      <c r="H17" s="161" t="s">
        <v>1786</v>
      </c>
      <c r="I17" s="160" t="str">
        <f>IF('AML.01.01'!$I$11="", $G17 &amp; ": " &amp; $H17, "OK")</f>
        <v>ERROR: C0080 is mandatory</v>
      </c>
      <c r="J17" s="160" t="str">
        <f ca="1">IF(LEN(IF(VLOOKUP("AMLA_VR_AML.01.01_C0080_01",$A:$I,9,0)&lt;&gt;"OK",CHAR(10)&amp;VLOOKUP("AMLA_VR_AML.01.01_C0080_01",$A:$I,9,0),"")&amp;IF(VLOOKUP("AMLA_VR_AML.01.01_C0080_02",$A:$I,9,0)&lt;&gt;"OK",CHAR(10)&amp;VLOOKUP("AMLA_VR_AML.01.01_C0080_02",$A:$I,9,0),""))=0,"OK",MID(IF(VLOOKUP("AMLA_VR_AML.01.01_C0080_01",$A:$I,9,0)&lt;&gt;"OK",CHAR(10)&amp;VLOOKUP("AMLA_VR_AML.01.01_C0080_01",$A:$I,9,0),"")&amp;IF(VLOOKUP("AMLA_VR_AML.01.01_C0080_02",$A:$I,9,0)&lt;&gt;"OK",CHAR(10)&amp;VLOOKUP("AMLA_VR_AML.01.01_C0080_02",$A:$I,9,0),""),2,3000))</f>
        <v>ERROR: C0080 is mandatory</v>
      </c>
      <c r="K17" s="160" t="s">
        <v>1775</v>
      </c>
    </row>
    <row r="18" spans="1:11">
      <c r="A18" s="159" t="str">
        <f>"AMLA_VR_" &amp; B18 &amp; "_" &amp; C18 &amp; "_" &amp; TEXT(COUNTIFS($B$2:B18, B18, $C$2:C18, C18), "00")</f>
        <v>AMLA_VR_AML.01.01_C0090_01</v>
      </c>
      <c r="B18" s="160" t="s">
        <v>44</v>
      </c>
      <c r="C18" s="160" t="s">
        <v>89</v>
      </c>
      <c r="D18" s="160" t="s">
        <v>1557</v>
      </c>
      <c r="E18" s="160" t="str" cm="1">
        <f t="array" aca="1" ref="E18" ca="1">IF(C18="", INDIRECT("'"&amp;B18&amp;"'!B3"), INDEX(INDIRECT("'"&amp;B18&amp;"'!5:5"), COLUMN(INDIRECT("'"&amp;B18&amp;"'!"&amp;D18))))</f>
        <v>Payment Accounts</v>
      </c>
      <c r="F18" s="160" t="s">
        <v>1776</v>
      </c>
      <c r="G18" s="160" t="s">
        <v>1773</v>
      </c>
      <c r="H18" s="161" t="s">
        <v>1782</v>
      </c>
      <c r="I18" s="162" t="str">
        <f ca="1">IF(TRIM(SUBSTITUTE('AML.01.01'!$J$11&amp;"",CHAR(160),""))="","OK",IF(COUNTIF(INDIRECT('AML.01.01'!$J$8),'AML.01.01'!$J$11)=0,$G18&amp;": "&amp;$H18,"OK"))</f>
        <v>OK</v>
      </c>
      <c r="J18" s="160" t="str">
        <f ca="1">IF(LEN(IF(VLOOKUP("AMLA_VR_AML.01.01_C0090_01",$A:$I,9,0)&lt;&gt;"OK",CHAR(10)&amp;VLOOKUP("AMLA_VR_AML.01.01_C0090_01",$A:$I,9,0),"")&amp;IF(VLOOKUP("AMLA_VR_AML.01.01_C0090_02",$A:$I,9,0)&lt;&gt;"OK",CHAR(10)&amp;VLOOKUP("AMLA_VR_AML.01.01_C0090_02",$A:$I,9,0),""))=0,"OK",MID(IF(VLOOKUP("AMLA_VR_AML.01.01_C0090_01",$A:$I,9,0)&lt;&gt;"OK",CHAR(10)&amp;VLOOKUP("AMLA_VR_AML.01.01_C0090_01",$A:$I,9,0),"")&amp;IF(VLOOKUP("AMLA_VR_AML.01.01_C0090_02",$A:$I,9,0)&lt;&gt;"OK",CHAR(10)&amp;VLOOKUP("AMLA_VR_AML.01.01_C0090_02",$A:$I,9,0),""),2,3000))</f>
        <v>ERROR: C0090 is mandatory</v>
      </c>
      <c r="K18" s="160" t="s">
        <v>1775</v>
      </c>
    </row>
    <row r="19" spans="1:11">
      <c r="A19" s="159" t="str">
        <f>"AMLA_VR_" &amp; B19 &amp; "_" &amp; C19 &amp; "_" &amp; TEXT(COUNTIFS($B$2:B19, B19, $C$2:C19, C19), "00")</f>
        <v>AMLA_VR_AML.01.01_C0090_02</v>
      </c>
      <c r="B19" s="157" t="s">
        <v>44</v>
      </c>
      <c r="C19" s="157" t="s">
        <v>89</v>
      </c>
      <c r="D19" s="157" t="s">
        <v>1557</v>
      </c>
      <c r="E19" s="160" t="str" cm="1">
        <f t="array" aca="1" ref="E19" ca="1">IF(C19="", INDIRECT("'"&amp;B19&amp;"'!B3"), INDEX(INDIRECT("'"&amp;B19&amp;"'!5:5"), COLUMN(INDIRECT("'"&amp;B19&amp;"'!"&amp;D19))))</f>
        <v>Payment Accounts</v>
      </c>
      <c r="F19" s="157" t="s">
        <v>1778</v>
      </c>
      <c r="G19" s="157" t="s">
        <v>1773</v>
      </c>
      <c r="H19" s="158" t="s">
        <v>1787</v>
      </c>
      <c r="I19" s="157" t="str">
        <f>IF('AML.01.01'!$J$11="", $G19 &amp; ": " &amp; $H19, "OK")</f>
        <v>ERROR: C0090 is mandatory</v>
      </c>
      <c r="J19" s="157" t="str">
        <f ca="1">IF(LEN(IF(VLOOKUP("AMLA_VR_AML.01.01_C0090_01",$A:$I,9,0)&lt;&gt;"OK",CHAR(10)&amp;VLOOKUP("AMLA_VR_AML.01.01_C0090_01",$A:$I,9,0),"")&amp;IF(VLOOKUP("AMLA_VR_AML.01.01_C0090_02",$A:$I,9,0)&lt;&gt;"OK",CHAR(10)&amp;VLOOKUP("AMLA_VR_AML.01.01_C0090_02",$A:$I,9,0),""))=0,"OK",MID(IF(VLOOKUP("AMLA_VR_AML.01.01_C0090_01",$A:$I,9,0)&lt;&gt;"OK",CHAR(10)&amp;VLOOKUP("AMLA_VR_AML.01.01_C0090_01",$A:$I,9,0),"")&amp;IF(VLOOKUP("AMLA_VR_AML.01.01_C0090_02",$A:$I,9,0)&lt;&gt;"OK",CHAR(10)&amp;VLOOKUP("AMLA_VR_AML.01.01_C0090_02",$A:$I,9,0),""),2,3000))</f>
        <v>ERROR: C0090 is mandatory</v>
      </c>
      <c r="K19" s="157" t="s">
        <v>1775</v>
      </c>
    </row>
    <row r="20" spans="1:11">
      <c r="A20" s="159" t="str">
        <f>"AMLA_VR_" &amp; B20 &amp; "_" &amp; C20 &amp; "_" &amp; TEXT(COUNTIFS($B$2:B20, B20, $C$2:C20, C20), "00")</f>
        <v>AMLA_VR_AML.01.01_C0100_01</v>
      </c>
      <c r="B20" s="157" t="s">
        <v>44</v>
      </c>
      <c r="C20" s="157" t="s">
        <v>90</v>
      </c>
      <c r="D20" s="157" t="s">
        <v>1558</v>
      </c>
      <c r="E20" s="160" t="str" cm="1">
        <f t="array" aca="1" ref="E20" ca="1">IF(C20="", INDIRECT("'"&amp;B20&amp;"'!B3"), INDEX(INDIRECT("'"&amp;B20&amp;"'!5:5"), COLUMN(INDIRECT("'"&amp;B20&amp;"'!"&amp;D20))))</f>
        <v>Virtual IBANs</v>
      </c>
      <c r="F20" s="157" t="s">
        <v>1776</v>
      </c>
      <c r="G20" s="157" t="s">
        <v>1773</v>
      </c>
      <c r="H20" s="158" t="s">
        <v>1782</v>
      </c>
      <c r="I20" s="162" t="str">
        <f ca="1">IF(TRIM(SUBSTITUTE('AML.01.01'!$K$11&amp;"",CHAR(160),""))="","OK",IF(COUNTIF(INDIRECT('AML.01.01'!$K$8),'AML.01.01'!$K$11)=0,$G20&amp;": "&amp;$H20,"OK"))</f>
        <v>OK</v>
      </c>
      <c r="J20" s="157" t="str">
        <f ca="1">IF(LEN(IF(VLOOKUP("AMLA_VR_AML.01.01_C0100_01",$A:$I,9,0)&lt;&gt;"OK",CHAR(10)&amp;VLOOKUP("AMLA_VR_AML.01.01_C0100_01",$A:$I,9,0),"")&amp;IF(VLOOKUP("AMLA_VR_AML.01.01_C0100_02",$A:$I,9,0)&lt;&gt;"OK",CHAR(10)&amp;VLOOKUP("AMLA_VR_AML.01.01_C0100_02",$A:$I,9,0),""))=0,"OK",MID(IF(VLOOKUP("AMLA_VR_AML.01.01_C0100_01",$A:$I,9,0)&lt;&gt;"OK",CHAR(10)&amp;VLOOKUP("AMLA_VR_AML.01.01_C0100_01",$A:$I,9,0),"")&amp;IF(VLOOKUP("AMLA_VR_AML.01.01_C0100_02",$A:$I,9,0)&lt;&gt;"OK",CHAR(10)&amp;VLOOKUP("AMLA_VR_AML.01.01_C0100_02",$A:$I,9,0),""),2,3000))</f>
        <v>ERROR: C0100 is mandatory</v>
      </c>
      <c r="K20" s="157" t="s">
        <v>1775</v>
      </c>
    </row>
    <row r="21" spans="1:11">
      <c r="A21" s="159" t="str">
        <f>"AMLA_VR_" &amp; B21 &amp; "_" &amp; C21 &amp; "_" &amp; TEXT(COUNTIFS($B$2:B21, B21, $C$2:C21, C21), "00")</f>
        <v>AMLA_VR_AML.01.01_C0100_02</v>
      </c>
      <c r="B21" s="160" t="s">
        <v>44</v>
      </c>
      <c r="C21" s="160" t="s">
        <v>90</v>
      </c>
      <c r="D21" s="160" t="s">
        <v>1558</v>
      </c>
      <c r="E21" s="160" t="str" cm="1">
        <f t="array" aca="1" ref="E21" ca="1">IF(C21="", INDIRECT("'"&amp;B21&amp;"'!B3"), INDEX(INDIRECT("'"&amp;B21&amp;"'!5:5"), COLUMN(INDIRECT("'"&amp;B21&amp;"'!"&amp;D21))))</f>
        <v>Virtual IBANs</v>
      </c>
      <c r="F21" s="160" t="s">
        <v>1778</v>
      </c>
      <c r="G21" s="160" t="s">
        <v>1773</v>
      </c>
      <c r="H21" s="161" t="s">
        <v>1788</v>
      </c>
      <c r="I21" s="157" t="str">
        <f>IF('AML.01.01'!$K$11="", $G21 &amp; ": " &amp; $H21, "OK")</f>
        <v>ERROR: C0100 is mandatory</v>
      </c>
      <c r="J21" s="160" t="str">
        <f ca="1">IF(LEN(IF(VLOOKUP("AMLA_VR_AML.01.01_C0100_01",$A:$I,9,0)&lt;&gt;"OK",CHAR(10)&amp;VLOOKUP("AMLA_VR_AML.01.01_C0100_01",$A:$I,9,0),"")&amp;IF(VLOOKUP("AMLA_VR_AML.01.01_C0100_02",$A:$I,9,0)&lt;&gt;"OK",CHAR(10)&amp;VLOOKUP("AMLA_VR_AML.01.01_C0100_02",$A:$I,9,0),""))=0,"OK",MID(IF(VLOOKUP("AMLA_VR_AML.01.01_C0100_01",$A:$I,9,0)&lt;&gt;"OK",CHAR(10)&amp;VLOOKUP("AMLA_VR_AML.01.01_C0100_01",$A:$I,9,0),"")&amp;IF(VLOOKUP("AMLA_VR_AML.01.01_C0100_02",$A:$I,9,0)&lt;&gt;"OK",CHAR(10)&amp;VLOOKUP("AMLA_VR_AML.01.01_C0100_02",$A:$I,9,0),""),2,3000))</f>
        <v>ERROR: C0100 is mandatory</v>
      </c>
      <c r="K21" s="160" t="s">
        <v>1775</v>
      </c>
    </row>
    <row r="22" spans="1:11">
      <c r="A22" s="159" t="str">
        <f>"AMLA_VR_" &amp; B22 &amp; "_" &amp; C22 &amp; "_" &amp; TEXT(COUNTIFS($B$2:B22, B22, $C$2:C22, C22), "00")</f>
        <v>AMLA_VR_AML.01.01_C0110_01</v>
      </c>
      <c r="B22" s="160" t="s">
        <v>44</v>
      </c>
      <c r="C22" s="160" t="s">
        <v>91</v>
      </c>
      <c r="D22" s="160" t="s">
        <v>1559</v>
      </c>
      <c r="E22" s="160" t="str" cm="1">
        <f t="array" aca="1" ref="E22" ca="1">IF(C22="", INDIRECT("'"&amp;B22&amp;"'!B3"), INDEX(INDIRECT("'"&amp;B22&amp;"'!5:5"), COLUMN(INDIRECT("'"&amp;B22&amp;"'!"&amp;D22))))</f>
        <v>Prepaid Cards</v>
      </c>
      <c r="F22" s="160" t="s">
        <v>1776</v>
      </c>
      <c r="G22" s="160" t="s">
        <v>1773</v>
      </c>
      <c r="H22" s="161" t="s">
        <v>1782</v>
      </c>
      <c r="I22" s="157" t="str">
        <f ca="1">IF(TRIM(SUBSTITUTE('AML.01.01'!$L$11&amp;"",CHAR(160),""))="","OK",IF(COUNTIF(INDIRECT('AML.01.01'!$L$8),'AML.01.01'!$L$11)=0,$G22&amp;": "&amp;$H22,"OK"))</f>
        <v>OK</v>
      </c>
      <c r="J22" s="160" t="str">
        <f ca="1">IF(LEN(IF(VLOOKUP("AMLA_VR_AML.01.01_C0110_01",$A:$I,9,0)&lt;&gt;"OK",CHAR(10)&amp;VLOOKUP("AMLA_VR_AML.01.01_C0110_01",$A:$I,9,0),"")&amp;IF(VLOOKUP("AMLA_VR_AML.01.01_C0110_02",$A:$I,9,0)&lt;&gt;"OK",CHAR(10)&amp;VLOOKUP("AMLA_VR_AML.01.01_C0110_02",$A:$I,9,0),""))=0,"OK",MID(IF(VLOOKUP("AMLA_VR_AML.01.01_C0110_01",$A:$I,9,0)&lt;&gt;"OK",CHAR(10)&amp;VLOOKUP("AMLA_VR_AML.01.01_C0110_01",$A:$I,9,0),"")&amp;IF(VLOOKUP("AMLA_VR_AML.01.01_C0110_02",$A:$I,9,0)&lt;&gt;"OK",CHAR(10)&amp;VLOOKUP("AMLA_VR_AML.01.01_C0110_02",$A:$I,9,0),""),2,3000))</f>
        <v>ERROR: C0110 is mandatory</v>
      </c>
      <c r="K22" s="160" t="s">
        <v>1775</v>
      </c>
    </row>
    <row r="23" spans="1:11">
      <c r="A23" s="159" t="str">
        <f>"AMLA_VR_" &amp; B23 &amp; "_" &amp; C23 &amp; "_" &amp; TEXT(COUNTIFS($B$2:B23, B23, $C$2:C23, C23), "00")</f>
        <v>AMLA_VR_AML.01.01_C0110_02</v>
      </c>
      <c r="B23" s="157" t="s">
        <v>44</v>
      </c>
      <c r="C23" s="157" t="s">
        <v>91</v>
      </c>
      <c r="D23" s="157" t="s">
        <v>1559</v>
      </c>
      <c r="E23" s="160" t="str" cm="1">
        <f t="array" aca="1" ref="E23" ca="1">IF(C23="", INDIRECT("'"&amp;B23&amp;"'!B3"), INDEX(INDIRECT("'"&amp;B23&amp;"'!5:5"), COLUMN(INDIRECT("'"&amp;B23&amp;"'!"&amp;D23))))</f>
        <v>Prepaid Cards</v>
      </c>
      <c r="F23" s="157" t="s">
        <v>1778</v>
      </c>
      <c r="G23" s="157" t="s">
        <v>1773</v>
      </c>
      <c r="H23" s="158" t="s">
        <v>1789</v>
      </c>
      <c r="I23" s="160" t="str">
        <f>IF('AML.01.01'!$L$11="", $G23 &amp; ": " &amp; $H23, "OK")</f>
        <v>ERROR: C0110 is mandatory</v>
      </c>
      <c r="J23" s="157" t="str">
        <f ca="1">IF(LEN(IF(VLOOKUP("AMLA_VR_AML.01.01_C0110_01",$A:$I,9,0)&lt;&gt;"OK",CHAR(10)&amp;VLOOKUP("AMLA_VR_AML.01.01_C0110_01",$A:$I,9,0),"")&amp;IF(VLOOKUP("AMLA_VR_AML.01.01_C0110_02",$A:$I,9,0)&lt;&gt;"OK",CHAR(10)&amp;VLOOKUP("AMLA_VR_AML.01.01_C0110_02",$A:$I,9,0),""))=0,"OK",MID(IF(VLOOKUP("AMLA_VR_AML.01.01_C0110_01",$A:$I,9,0)&lt;&gt;"OK",CHAR(10)&amp;VLOOKUP("AMLA_VR_AML.01.01_C0110_01",$A:$I,9,0),"")&amp;IF(VLOOKUP("AMLA_VR_AML.01.01_C0110_02",$A:$I,9,0)&lt;&gt;"OK",CHAR(10)&amp;VLOOKUP("AMLA_VR_AML.01.01_C0110_02",$A:$I,9,0),""),2,3000))</f>
        <v>ERROR: C0110 is mandatory</v>
      </c>
      <c r="K23" s="157" t="s">
        <v>1775</v>
      </c>
    </row>
    <row r="24" spans="1:11">
      <c r="A24" s="159" t="str">
        <f>"AMLA_VR_" &amp; B24 &amp; "_" &amp; C24 &amp; "_" &amp; TEXT(COUNTIFS($B$2:B24, B24, $C$2:C24, C24), "00")</f>
        <v>AMLA_VR_AML.01.01_C0120_01</v>
      </c>
      <c r="B24" s="157" t="s">
        <v>44</v>
      </c>
      <c r="C24" s="157" t="s">
        <v>92</v>
      </c>
      <c r="D24" s="157" t="s">
        <v>1560</v>
      </c>
      <c r="E24" s="160" t="str" cm="1">
        <f t="array" aca="1" ref="E24" ca="1">IF(C24="", INDIRECT("'"&amp;B24&amp;"'!B3"), INDEX(INDIRECT("'"&amp;B24&amp;"'!5:5"), COLUMN(INDIRECT("'"&amp;B24&amp;"'!"&amp;D24))))</f>
        <v>Lending/ Factoring</v>
      </c>
      <c r="F24" s="157" t="s">
        <v>1776</v>
      </c>
      <c r="G24" s="157" t="s">
        <v>1773</v>
      </c>
      <c r="H24" s="158" t="s">
        <v>1782</v>
      </c>
      <c r="I24" s="160" t="str">
        <f ca="1">IF(TRIM(SUBSTITUTE('AML.01.01'!$M$11&amp;"",CHAR(160),""))="","OK",IF(COUNTIF(INDIRECT('AML.01.01'!$M$8),'AML.01.01'!$M$11)=0,$G24&amp;": "&amp;$H24,"OK"))</f>
        <v>OK</v>
      </c>
      <c r="J24" s="157" t="str">
        <f ca="1">IF(LEN(IF(VLOOKUP("AMLA_VR_AML.01.01_C0120_01",$A:$I,9,0)&lt;&gt;"OK",CHAR(10)&amp;VLOOKUP("AMLA_VR_AML.01.01_C0120_01",$A:$I,9,0),"")&amp;IF(VLOOKUP("AMLA_VR_AML.01.01_C0120_02",$A:$I,9,0)&lt;&gt;"OK",CHAR(10)&amp;VLOOKUP("AMLA_VR_AML.01.01_C0120_02",$A:$I,9,0),""))=0,"OK",MID(IF(VLOOKUP("AMLA_VR_AML.01.01_C0120_01",$A:$I,9,0)&lt;&gt;"OK",CHAR(10)&amp;VLOOKUP("AMLA_VR_AML.01.01_C0120_01",$A:$I,9,0),"")&amp;IF(VLOOKUP("AMLA_VR_AML.01.01_C0120_02",$A:$I,9,0)&lt;&gt;"OK",CHAR(10)&amp;VLOOKUP("AMLA_VR_AML.01.01_C0120_02",$A:$I,9,0),""),2,3000))</f>
        <v>ERROR: C0120 is mandatory</v>
      </c>
      <c r="K24" s="157" t="s">
        <v>1775</v>
      </c>
    </row>
    <row r="25" spans="1:11">
      <c r="A25" s="159" t="str">
        <f>"AMLA_VR_" &amp; B25 &amp; "_" &amp; C25 &amp; "_" &amp; TEXT(COUNTIFS($B$2:B25, B25, $C$2:C25, C25), "00")</f>
        <v>AMLA_VR_AML.01.01_C0120_02</v>
      </c>
      <c r="B25" s="160" t="s">
        <v>44</v>
      </c>
      <c r="C25" s="160" t="s">
        <v>92</v>
      </c>
      <c r="D25" s="160" t="s">
        <v>1560</v>
      </c>
      <c r="E25" s="160" t="str" cm="1">
        <f t="array" aca="1" ref="E25" ca="1">IF(C25="", INDIRECT("'"&amp;B25&amp;"'!B3"), INDEX(INDIRECT("'"&amp;B25&amp;"'!5:5"), COLUMN(INDIRECT("'"&amp;B25&amp;"'!"&amp;D25))))</f>
        <v>Lending/ Factoring</v>
      </c>
      <c r="F25" s="160" t="s">
        <v>1778</v>
      </c>
      <c r="G25" s="160" t="s">
        <v>1773</v>
      </c>
      <c r="H25" s="161" t="s">
        <v>1790</v>
      </c>
      <c r="I25" s="157" t="str">
        <f>IF('AML.01.01'!$M$11="", $G25 &amp; ": " &amp; $H25, "OK")</f>
        <v>ERROR: C0120 is mandatory</v>
      </c>
      <c r="J25" s="160" t="str">
        <f ca="1">IF(LEN(IF(VLOOKUP("AMLA_VR_AML.01.01_C0120_01",$A:$I,9,0)&lt;&gt;"OK",CHAR(10)&amp;VLOOKUP("AMLA_VR_AML.01.01_C0120_01",$A:$I,9,0),"")&amp;IF(VLOOKUP("AMLA_VR_AML.01.01_C0120_02",$A:$I,9,0)&lt;&gt;"OK",CHAR(10)&amp;VLOOKUP("AMLA_VR_AML.01.01_C0120_02",$A:$I,9,0),""))=0,"OK",MID(IF(VLOOKUP("AMLA_VR_AML.01.01_C0120_01",$A:$I,9,0)&lt;&gt;"OK",CHAR(10)&amp;VLOOKUP("AMLA_VR_AML.01.01_C0120_01",$A:$I,9,0),"")&amp;IF(VLOOKUP("AMLA_VR_AML.01.01_C0120_02",$A:$I,9,0)&lt;&gt;"OK",CHAR(10)&amp;VLOOKUP("AMLA_VR_AML.01.01_C0120_02",$A:$I,9,0),""),2,3000))</f>
        <v>ERROR: C0120 is mandatory</v>
      </c>
      <c r="K25" s="160" t="s">
        <v>1775</v>
      </c>
    </row>
    <row r="26" spans="1:11">
      <c r="A26" s="159" t="str">
        <f>"AMLA_VR_" &amp; B26 &amp; "_" &amp; C26 &amp; "_" &amp; TEXT(COUNTIFS($B$2:B26, B26, $C$2:C26, C26), "00")</f>
        <v>AMLA_VR_AML.01.01_C0130_01</v>
      </c>
      <c r="B26" s="160" t="s">
        <v>44</v>
      </c>
      <c r="C26" s="160" t="s">
        <v>93</v>
      </c>
      <c r="D26" s="160" t="s">
        <v>1561</v>
      </c>
      <c r="E26" s="160" t="str" cm="1">
        <f t="array" aca="1" ref="E26" ca="1">IF(C26="", INDIRECT("'"&amp;B26&amp;"'!B3"), INDEX(INDIRECT("'"&amp;B26&amp;"'!5:5"), COLUMN(INDIRECT("'"&amp;B26&amp;"'!"&amp;D26))))</f>
        <v>Life Insurance Contracts</v>
      </c>
      <c r="F26" s="160" t="s">
        <v>1776</v>
      </c>
      <c r="G26" s="160" t="s">
        <v>1773</v>
      </c>
      <c r="H26" s="161" t="s">
        <v>1782</v>
      </c>
      <c r="I26" s="157" t="str">
        <f ca="1">IF(TRIM(SUBSTITUTE('AML.01.01'!$N$11&amp;"",CHAR(160),""))="","OK",IF(COUNTIF(INDIRECT('AML.01.01'!$N$8),'AML.01.01'!$N$11)=0,$G26&amp;": "&amp;$H26,"OK"))</f>
        <v>OK</v>
      </c>
      <c r="J26" s="160" t="str">
        <f ca="1">IF(LEN(IF(VLOOKUP("AMLA_VR_AML.01.01_C0130_01",$A:$I,9,0)&lt;&gt;"OK",CHAR(10)&amp;VLOOKUP("AMLA_VR_AML.01.01_C0130_01",$A:$I,9,0),"")&amp;IF(VLOOKUP("AMLA_VR_AML.01.01_C0130_02",$A:$I,9,0)&lt;&gt;"OK",CHAR(10)&amp;VLOOKUP("AMLA_VR_AML.01.01_C0130_02",$A:$I,9,0),""))=0,"OK",MID(IF(VLOOKUP("AMLA_VR_AML.01.01_C0130_01",$A:$I,9,0)&lt;&gt;"OK",CHAR(10)&amp;VLOOKUP("AMLA_VR_AML.01.01_C0130_01",$A:$I,9,0),"")&amp;IF(VLOOKUP("AMLA_VR_AML.01.01_C0130_02",$A:$I,9,0)&lt;&gt;"OK",CHAR(10)&amp;VLOOKUP("AMLA_VR_AML.01.01_C0130_02",$A:$I,9,0),""),2,3000))</f>
        <v>ERROR: C0130 is mandatory</v>
      </c>
      <c r="K26" s="160" t="s">
        <v>1775</v>
      </c>
    </row>
    <row r="27" spans="1:11">
      <c r="A27" s="159" t="str">
        <f>"AMLA_VR_" &amp; B27 &amp; "_" &amp; C27 &amp; "_" &amp; TEXT(COUNTIFS($B$2:B27, B27, $C$2:C27, C27), "00")</f>
        <v>AMLA_VR_AML.01.01_C0130_02</v>
      </c>
      <c r="B27" s="157" t="s">
        <v>44</v>
      </c>
      <c r="C27" s="157" t="s">
        <v>93</v>
      </c>
      <c r="D27" s="157" t="s">
        <v>1561</v>
      </c>
      <c r="E27" s="160" t="str" cm="1">
        <f t="array" aca="1" ref="E27" ca="1">IF(C27="", INDIRECT("'"&amp;B27&amp;"'!B3"), INDEX(INDIRECT("'"&amp;B27&amp;"'!5:5"), COLUMN(INDIRECT("'"&amp;B27&amp;"'!"&amp;D27))))</f>
        <v>Life Insurance Contracts</v>
      </c>
      <c r="F27" s="157" t="s">
        <v>1778</v>
      </c>
      <c r="G27" s="157" t="s">
        <v>1773</v>
      </c>
      <c r="H27" s="158" t="s">
        <v>1791</v>
      </c>
      <c r="I27" s="160" t="str">
        <f>IF('AML.01.01'!$N$11="", $G27 &amp; ": " &amp; $H27, "OK")</f>
        <v>ERROR: C0130 is mandatory</v>
      </c>
      <c r="J27" s="157" t="str">
        <f ca="1">IF(LEN(IF(VLOOKUP("AMLA_VR_AML.01.01_C0130_01",$A:$I,9,0)&lt;&gt;"OK",CHAR(10)&amp;VLOOKUP("AMLA_VR_AML.01.01_C0130_01",$A:$I,9,0),"")&amp;IF(VLOOKUP("AMLA_VR_AML.01.01_C0130_02",$A:$I,9,0)&lt;&gt;"OK",CHAR(10)&amp;VLOOKUP("AMLA_VR_AML.01.01_C0130_02",$A:$I,9,0),""))=0,"OK",MID(IF(VLOOKUP("AMLA_VR_AML.01.01_C0130_01",$A:$I,9,0)&lt;&gt;"OK",CHAR(10)&amp;VLOOKUP("AMLA_VR_AML.01.01_C0130_01",$A:$I,9,0),"")&amp;IF(VLOOKUP("AMLA_VR_AML.01.01_C0130_02",$A:$I,9,0)&lt;&gt;"OK",CHAR(10)&amp;VLOOKUP("AMLA_VR_AML.01.01_C0130_02",$A:$I,9,0),""),2,3000))</f>
        <v>ERROR: C0130 is mandatory</v>
      </c>
      <c r="K27" s="157" t="s">
        <v>1775</v>
      </c>
    </row>
    <row r="28" spans="1:11">
      <c r="A28" s="159" t="str">
        <f>"AMLA_VR_" &amp; B28 &amp; "_" &amp; C28 &amp; "_" &amp; TEXT(COUNTIFS($B$2:B28, B28, $C$2:C28, C28), "00")</f>
        <v>AMLA_VR_AML.01.01_C0140_01</v>
      </c>
      <c r="B28" s="157" t="s">
        <v>44</v>
      </c>
      <c r="C28" s="157" t="s">
        <v>94</v>
      </c>
      <c r="D28" s="157" t="s">
        <v>1562</v>
      </c>
      <c r="E28" s="160" t="str" cm="1">
        <f t="array" aca="1" ref="E28" ca="1">IF(C28="", INDIRECT("'"&amp;B28&amp;"'!B3"), INDEX(INDIRECT("'"&amp;B28&amp;"'!5:5"), COLUMN(INDIRECT("'"&amp;B28&amp;"'!"&amp;D28))))</f>
        <v>Currency Exchange Involving Cash</v>
      </c>
      <c r="F28" s="157" t="s">
        <v>1776</v>
      </c>
      <c r="G28" s="157" t="s">
        <v>1773</v>
      </c>
      <c r="H28" s="158" t="s">
        <v>1782</v>
      </c>
      <c r="I28" s="160" t="str">
        <f ca="1">IF(TRIM(SUBSTITUTE('AML.01.01'!$O$11&amp;"",CHAR(160),""))="","OK",IF(COUNTIF(INDIRECT('AML.01.01'!$O$8),'AML.01.01'!$O$11)=0,$G28&amp;": "&amp;$H28,"OK"))</f>
        <v>OK</v>
      </c>
      <c r="J28" s="157" t="str">
        <f ca="1">IF(LEN(IF(VLOOKUP("AMLA_VR_AML.01.01_C0140_01",$A:$I,9,0)&lt;&gt;"OK",CHAR(10)&amp;VLOOKUP("AMLA_VR_AML.01.01_C0140_01",$A:$I,9,0),"")&amp;IF(VLOOKUP("AMLA_VR_AML.01.01_C0140_02",$A:$I,9,0)&lt;&gt;"OK",CHAR(10)&amp;VLOOKUP("AMLA_VR_AML.01.01_C0140_02",$A:$I,9,0),""))=0,"OK",MID(IF(VLOOKUP("AMLA_VR_AML.01.01_C0140_01",$A:$I,9,0)&lt;&gt;"OK",CHAR(10)&amp;VLOOKUP("AMLA_VR_AML.01.01_C0140_01",$A:$I,9,0),"")&amp;IF(VLOOKUP("AMLA_VR_AML.01.01_C0140_02",$A:$I,9,0)&lt;&gt;"OK",CHAR(10)&amp;VLOOKUP("AMLA_VR_AML.01.01_C0140_02",$A:$I,9,0),""),2,3000))</f>
        <v>ERROR: C0140 is mandatory</v>
      </c>
      <c r="K28" s="157" t="s">
        <v>1775</v>
      </c>
    </row>
    <row r="29" spans="1:11">
      <c r="A29" s="159" t="str">
        <f>"AMLA_VR_" &amp; B29 &amp; "_" &amp; C29 &amp; "_" &amp; TEXT(COUNTIFS($B$2:B29, B29, $C$2:C29, C29), "00")</f>
        <v>AMLA_VR_AML.01.01_C0140_02</v>
      </c>
      <c r="B29" s="160" t="s">
        <v>44</v>
      </c>
      <c r="C29" s="160" t="s">
        <v>94</v>
      </c>
      <c r="D29" s="160" t="s">
        <v>1562</v>
      </c>
      <c r="E29" s="160" t="str" cm="1">
        <f t="array" aca="1" ref="E29" ca="1">IF(C29="", INDIRECT("'"&amp;B29&amp;"'!B3"), INDEX(INDIRECT("'"&amp;B29&amp;"'!5:5"), COLUMN(INDIRECT("'"&amp;B29&amp;"'!"&amp;D29))))</f>
        <v>Currency Exchange Involving Cash</v>
      </c>
      <c r="F29" s="160" t="s">
        <v>1778</v>
      </c>
      <c r="G29" s="160" t="s">
        <v>1773</v>
      </c>
      <c r="H29" s="161" t="s">
        <v>1792</v>
      </c>
      <c r="I29" s="157" t="str">
        <f>IF('AML.01.01'!$O$11="", $G29 &amp; ": " &amp; $H29, "OK")</f>
        <v>ERROR: C0140 is mandatory</v>
      </c>
      <c r="J29" s="160" t="str">
        <f ca="1">IF(LEN(IF(VLOOKUP("AMLA_VR_AML.01.01_C0140_01",$A:$I,9,0)&lt;&gt;"OK",CHAR(10)&amp;VLOOKUP("AMLA_VR_AML.01.01_C0140_01",$A:$I,9,0),"")&amp;IF(VLOOKUP("AMLA_VR_AML.01.01_C0140_02",$A:$I,9,0)&lt;&gt;"OK",CHAR(10)&amp;VLOOKUP("AMLA_VR_AML.01.01_C0140_02",$A:$I,9,0),""))=0,"OK",MID(IF(VLOOKUP("AMLA_VR_AML.01.01_C0140_01",$A:$I,9,0)&lt;&gt;"OK",CHAR(10)&amp;VLOOKUP("AMLA_VR_AML.01.01_C0140_01",$A:$I,9,0),"")&amp;IF(VLOOKUP("AMLA_VR_AML.01.01_C0140_02",$A:$I,9,0)&lt;&gt;"OK",CHAR(10)&amp;VLOOKUP("AMLA_VR_AML.01.01_C0140_02",$A:$I,9,0),""),2,3000))</f>
        <v>ERROR: C0140 is mandatory</v>
      </c>
      <c r="K29" s="160" t="s">
        <v>1775</v>
      </c>
    </row>
    <row r="30" spans="1:11">
      <c r="A30" s="159" t="str">
        <f>"AMLA_VR_" &amp; B30 &amp; "_" &amp; C30 &amp; "_" &amp; TEXT(COUNTIFS($B$2:B30, B30, $C$2:C30, C30), "00")</f>
        <v>AMLA_VR_AML.01.01_C0150_01</v>
      </c>
      <c r="B30" s="160" t="s">
        <v>44</v>
      </c>
      <c r="C30" s="160" t="s">
        <v>95</v>
      </c>
      <c r="D30" s="160" t="s">
        <v>1563</v>
      </c>
      <c r="E30" s="160" t="str" cm="1">
        <f t="array" aca="1" ref="E30" ca="1">IF(C30="", INDIRECT("'"&amp;B30&amp;"'!B3"), INDEX(INDIRECT("'"&amp;B30&amp;"'!5:5"), COLUMN(INDIRECT("'"&amp;B30&amp;"'!"&amp;D30))))</f>
        <v>Custody of Crypto Assets</v>
      </c>
      <c r="F30" s="160" t="s">
        <v>1776</v>
      </c>
      <c r="G30" s="160" t="s">
        <v>1773</v>
      </c>
      <c r="H30" s="161" t="s">
        <v>1782</v>
      </c>
      <c r="I30" s="157" t="str">
        <f ca="1">IF(TRIM(SUBSTITUTE('AML.01.01'!$P$11&amp;"",CHAR(160),""))="","OK",IF(COUNTIF(INDIRECT('AML.01.01'!$P$8),'AML.01.01'!$P$11)=0,$G30&amp;": "&amp;$H30,"OK"))</f>
        <v>OK</v>
      </c>
      <c r="J30" s="160" t="str">
        <f ca="1">IF(LEN(IF(VLOOKUP("AMLA_VR_AML.01.01_C0150_01",$A:$I,9,0)&lt;&gt;"OK",CHAR(10)&amp;VLOOKUP("AMLA_VR_AML.01.01_C0150_01",$A:$I,9,0),"")&amp;IF(VLOOKUP("AMLA_VR_AML.01.01_C0150_02",$A:$I,9,0)&lt;&gt;"OK",CHAR(10)&amp;VLOOKUP("AMLA_VR_AML.01.01_C0150_02",$A:$I,9,0),""))=0,"OK",MID(IF(VLOOKUP("AMLA_VR_AML.01.01_C0150_01",$A:$I,9,0)&lt;&gt;"OK",CHAR(10)&amp;VLOOKUP("AMLA_VR_AML.01.01_C0150_01",$A:$I,9,0),"")&amp;IF(VLOOKUP("AMLA_VR_AML.01.01_C0150_02",$A:$I,9,0)&lt;&gt;"OK",CHAR(10)&amp;VLOOKUP("AMLA_VR_AML.01.01_C0150_02",$A:$I,9,0),""),2,3000))</f>
        <v>ERROR: C0150 is mandatory</v>
      </c>
      <c r="K30" s="160" t="s">
        <v>1775</v>
      </c>
    </row>
    <row r="31" spans="1:11">
      <c r="A31" s="159" t="str">
        <f>"AMLA_VR_" &amp; B31 &amp; "_" &amp; C31 &amp; "_" &amp; TEXT(COUNTIFS($B$2:B31, B31, $C$2:C31, C31), "00")</f>
        <v>AMLA_VR_AML.01.01_C0150_02</v>
      </c>
      <c r="B31" s="157" t="s">
        <v>44</v>
      </c>
      <c r="C31" s="157" t="s">
        <v>95</v>
      </c>
      <c r="D31" s="157" t="s">
        <v>1563</v>
      </c>
      <c r="E31" s="160" t="str" cm="1">
        <f t="array" aca="1" ref="E31" ca="1">IF(C31="", INDIRECT("'"&amp;B31&amp;"'!B3"), INDEX(INDIRECT("'"&amp;B31&amp;"'!5:5"), COLUMN(INDIRECT("'"&amp;B31&amp;"'!"&amp;D31))))</f>
        <v>Custody of Crypto Assets</v>
      </c>
      <c r="F31" s="157" t="s">
        <v>1778</v>
      </c>
      <c r="G31" s="157" t="s">
        <v>1773</v>
      </c>
      <c r="H31" s="158" t="s">
        <v>1793</v>
      </c>
      <c r="I31" s="57" t="str">
        <f>IF('AML.01.01'!$P$11="", $G31 &amp; ": " &amp; $H31, "OK")</f>
        <v>ERROR: C0150 is mandatory</v>
      </c>
      <c r="J31" s="157" t="str">
        <f ca="1">IF(LEN(IF(VLOOKUP("AMLA_VR_AML.01.01_C0150_01",$A:$I,9,0)&lt;&gt;"OK",CHAR(10)&amp;VLOOKUP("AMLA_VR_AML.01.01_C0150_01",$A:$I,9,0),"")&amp;IF(VLOOKUP("AMLA_VR_AML.01.01_C0150_02",$A:$I,9,0)&lt;&gt;"OK",CHAR(10)&amp;VLOOKUP("AMLA_VR_AML.01.01_C0150_02",$A:$I,9,0),""))=0,"OK",MID(IF(VLOOKUP("AMLA_VR_AML.01.01_C0150_01",$A:$I,9,0)&lt;&gt;"OK",CHAR(10)&amp;VLOOKUP("AMLA_VR_AML.01.01_C0150_01",$A:$I,9,0),"")&amp;IF(VLOOKUP("AMLA_VR_AML.01.01_C0150_02",$A:$I,9,0)&lt;&gt;"OK",CHAR(10)&amp;VLOOKUP("AMLA_VR_AML.01.01_C0150_02",$A:$I,9,0),""),2,3000))</f>
        <v>ERROR: C0150 is mandatory</v>
      </c>
      <c r="K31" s="157" t="s">
        <v>1775</v>
      </c>
    </row>
    <row r="32" spans="1:11">
      <c r="A32" s="159" t="str">
        <f>"AMLA_VR_" &amp; B32 &amp; "_" &amp; C32 &amp; "_" &amp; TEXT(COUNTIFS($B$2:B32, B32, $C$2:C32, C32), "00")</f>
        <v>AMLA_VR_AML.01.01_C0160_01</v>
      </c>
      <c r="B32" s="157" t="s">
        <v>44</v>
      </c>
      <c r="C32" s="157" t="s">
        <v>96</v>
      </c>
      <c r="D32" s="157" t="s">
        <v>1564</v>
      </c>
      <c r="E32" s="160" t="str" cm="1">
        <f t="array" aca="1" ref="E32" ca="1">IF(C32="", INDIRECT("'"&amp;B32&amp;"'!B3"), INDEX(INDIRECT("'"&amp;B32&amp;"'!5:5"), COLUMN(INDIRECT("'"&amp;B32&amp;"'!"&amp;D32))))</f>
        <v>Investment Services</v>
      </c>
      <c r="F32" s="157" t="s">
        <v>1776</v>
      </c>
      <c r="G32" s="157" t="s">
        <v>1773</v>
      </c>
      <c r="H32" s="158" t="s">
        <v>1782</v>
      </c>
      <c r="I32" s="160" t="str">
        <f ca="1">IF(TRIM(SUBSTITUTE('AML.01.01'!$Q$11&amp;"",CHAR(160),""))="","OK",IF(COUNTIF(INDIRECT('AML.01.01'!$Q$8),'AML.01.01'!$Q$11)=0,$G32&amp;": "&amp;$H32,"OK"))</f>
        <v>OK</v>
      </c>
      <c r="J32" s="157" t="str">
        <f ca="1">IF(LEN(IF(VLOOKUP("AMLA_VR_AML.01.01_C0160_01",$A:$I,9,0)&lt;&gt;"OK",CHAR(10)&amp;VLOOKUP("AMLA_VR_AML.01.01_C0160_01",$A:$I,9,0),"")&amp;IF(VLOOKUP("AMLA_VR_AML.01.01_C0160_02",$A:$I,9,0)&lt;&gt;"OK",CHAR(10)&amp;VLOOKUP("AMLA_VR_AML.01.01_C0160_02",$A:$I,9,0),""))=0,"OK",MID(IF(VLOOKUP("AMLA_VR_AML.01.01_C0160_01",$A:$I,9,0)&lt;&gt;"OK",CHAR(10)&amp;VLOOKUP("AMLA_VR_AML.01.01_C0160_01",$A:$I,9,0),"")&amp;IF(VLOOKUP("AMLA_VR_AML.01.01_C0160_02",$A:$I,9,0)&lt;&gt;"OK",CHAR(10)&amp;VLOOKUP("AMLA_VR_AML.01.01_C0160_02",$A:$I,9,0),""),2,3000))</f>
        <v>ERROR: C0160 is mandatory</v>
      </c>
      <c r="K32" s="157" t="s">
        <v>1775</v>
      </c>
    </row>
    <row r="33" spans="1:11">
      <c r="A33" s="159" t="str">
        <f>"AMLA_VR_" &amp; B33 &amp; "_" &amp; C33 &amp; "_" &amp; TEXT(COUNTIFS($B$2:B33, B33, $C$2:C33, C33), "00")</f>
        <v>AMLA_VR_AML.01.01_C0160_02</v>
      </c>
      <c r="B33" s="160" t="s">
        <v>44</v>
      </c>
      <c r="C33" s="160" t="s">
        <v>96</v>
      </c>
      <c r="D33" s="160" t="s">
        <v>1564</v>
      </c>
      <c r="E33" s="160" t="str" cm="1">
        <f t="array" aca="1" ref="E33" ca="1">IF(C33="", INDIRECT("'"&amp;B33&amp;"'!B3"), INDEX(INDIRECT("'"&amp;B33&amp;"'!5:5"), COLUMN(INDIRECT("'"&amp;B33&amp;"'!"&amp;D33))))</f>
        <v>Investment Services</v>
      </c>
      <c r="F33" s="160" t="s">
        <v>1778</v>
      </c>
      <c r="G33" s="160" t="s">
        <v>1773</v>
      </c>
      <c r="H33" s="161" t="s">
        <v>1794</v>
      </c>
      <c r="I33" s="157" t="str">
        <f>IF('AML.01.01'!$Q$11="", $G33 &amp; ": " &amp; $H33, "OK")</f>
        <v>ERROR: C0160 is mandatory</v>
      </c>
      <c r="J33" s="160" t="str">
        <f ca="1">IF(LEN(IF(VLOOKUP("AMLA_VR_AML.01.01_C0160_01",$A:$I,9,0)&lt;&gt;"OK",CHAR(10)&amp;VLOOKUP("AMLA_VR_AML.01.01_C0160_01",$A:$I,9,0),"")&amp;IF(VLOOKUP("AMLA_VR_AML.01.01_C0160_02",$A:$I,9,0)&lt;&gt;"OK",CHAR(10)&amp;VLOOKUP("AMLA_VR_AML.01.01_C0160_02",$A:$I,9,0),""))=0,"OK",MID(IF(VLOOKUP("AMLA_VR_AML.01.01_C0160_01",$A:$I,9,0)&lt;&gt;"OK",CHAR(10)&amp;VLOOKUP("AMLA_VR_AML.01.01_C0160_01",$A:$I,9,0),"")&amp;IF(VLOOKUP("AMLA_VR_AML.01.01_C0160_02",$A:$I,9,0)&lt;&gt;"OK",CHAR(10)&amp;VLOOKUP("AMLA_VR_AML.01.01_C0160_02",$A:$I,9,0),""),2,3000))</f>
        <v>ERROR: C0160 is mandatory</v>
      </c>
      <c r="K33" s="160" t="s">
        <v>1775</v>
      </c>
    </row>
    <row r="34" spans="1:11">
      <c r="A34" s="159" t="str">
        <f>"AMLA_VR_" &amp; B34 &amp; "_" &amp; C34 &amp; "_" &amp; TEXT(COUNTIFS($B$2:B34, B34, $C$2:C34, C34), "00")</f>
        <v>AMLA_VR_AML.01.01_C0170_01</v>
      </c>
      <c r="B34" s="160" t="s">
        <v>44</v>
      </c>
      <c r="C34" s="160" t="s">
        <v>97</v>
      </c>
      <c r="D34" s="160" t="s">
        <v>1565</v>
      </c>
      <c r="E34" s="160" t="str" cm="1">
        <f t="array" aca="1" ref="E34" ca="1">IF(C34="", INDIRECT("'"&amp;B34&amp;"'!B3"), INDEX(INDIRECT("'"&amp;B34&amp;"'!5:5"), COLUMN(INDIRECT("'"&amp;B34&amp;"'!"&amp;D34))))</f>
        <v>Money Remittance</v>
      </c>
      <c r="F34" s="160" t="s">
        <v>1776</v>
      </c>
      <c r="G34" s="160" t="s">
        <v>1773</v>
      </c>
      <c r="H34" s="161" t="s">
        <v>1782</v>
      </c>
      <c r="I34" s="157" t="str">
        <f ca="1">IF(TRIM(SUBSTITUTE('AML.01.01'!$R$11&amp;"",CHAR(160),""))="","OK",IF(COUNTIF(INDIRECT('AML.01.01'!$R$8),'AML.01.01'!$R$11)=0,$G34&amp;": "&amp;$H34,"OK"))</f>
        <v>OK</v>
      </c>
      <c r="J34" s="160" t="str">
        <f ca="1">IF(LEN(IF(VLOOKUP("AMLA_VR_AML.01.01_C0170_01",$A:$I,9,0)&lt;&gt;"OK",CHAR(10)&amp;VLOOKUP("AMLA_VR_AML.01.01_C0170_01",$A:$I,9,0),"")&amp;IF(VLOOKUP("AMLA_VR_AML.01.01_C0170_02",$A:$I,9,0)&lt;&gt;"OK",CHAR(10)&amp;VLOOKUP("AMLA_VR_AML.01.01_C0170_02",$A:$I,9,0),""))=0,"OK",MID(IF(VLOOKUP("AMLA_VR_AML.01.01_C0170_01",$A:$I,9,0)&lt;&gt;"OK",CHAR(10)&amp;VLOOKUP("AMLA_VR_AML.01.01_C0170_01",$A:$I,9,0),"")&amp;IF(VLOOKUP("AMLA_VR_AML.01.01_C0170_02",$A:$I,9,0)&lt;&gt;"OK",CHAR(10)&amp;VLOOKUP("AMLA_VR_AML.01.01_C0170_02",$A:$I,9,0),""),2,3000))</f>
        <v>ERROR: C0170 is mandatory</v>
      </c>
      <c r="K34" s="160" t="s">
        <v>1775</v>
      </c>
    </row>
    <row r="35" spans="1:11">
      <c r="A35" s="159" t="str">
        <f>"AMLA_VR_" &amp; B35 &amp; "_" &amp; C35 &amp; "_" &amp; TEXT(COUNTIFS($B$2:B35, B35, $C$2:C35, C35), "00")</f>
        <v>AMLA_VR_AML.01.01_C0170_02</v>
      </c>
      <c r="B35" s="157" t="s">
        <v>44</v>
      </c>
      <c r="C35" s="157" t="s">
        <v>97</v>
      </c>
      <c r="D35" s="157" t="s">
        <v>1565</v>
      </c>
      <c r="E35" s="160" t="str" cm="1">
        <f t="array" aca="1" ref="E35" ca="1">IF(C35="", INDIRECT("'"&amp;B35&amp;"'!B3"), INDEX(INDIRECT("'"&amp;B35&amp;"'!5:5"), COLUMN(INDIRECT("'"&amp;B35&amp;"'!"&amp;D35))))</f>
        <v>Money Remittance</v>
      </c>
      <c r="F35" s="157" t="s">
        <v>1778</v>
      </c>
      <c r="G35" s="157" t="s">
        <v>1773</v>
      </c>
      <c r="H35" s="158" t="s">
        <v>1795</v>
      </c>
      <c r="I35" s="160" t="str">
        <f>IF('AML.01.01'!$R$11="", $G35 &amp; ": " &amp; $H35, "OK")</f>
        <v>ERROR: C0170 is mandatory</v>
      </c>
      <c r="J35" s="157" t="str">
        <f ca="1">IF(LEN(IF(VLOOKUP("AMLA_VR_AML.01.01_C0170_01",$A:$I,9,0)&lt;&gt;"OK",CHAR(10)&amp;VLOOKUP("AMLA_VR_AML.01.01_C0170_01",$A:$I,9,0),"")&amp;IF(VLOOKUP("AMLA_VR_AML.01.01_C0170_02",$A:$I,9,0)&lt;&gt;"OK",CHAR(10)&amp;VLOOKUP("AMLA_VR_AML.01.01_C0170_02",$A:$I,9,0),""))=0,"OK",MID(IF(VLOOKUP("AMLA_VR_AML.01.01_C0170_01",$A:$I,9,0)&lt;&gt;"OK",CHAR(10)&amp;VLOOKUP("AMLA_VR_AML.01.01_C0170_01",$A:$I,9,0),"")&amp;IF(VLOOKUP("AMLA_VR_AML.01.01_C0170_02",$A:$I,9,0)&lt;&gt;"OK",CHAR(10)&amp;VLOOKUP("AMLA_VR_AML.01.01_C0170_02",$A:$I,9,0),""),2,3000))</f>
        <v>ERROR: C0170 is mandatory</v>
      </c>
      <c r="K35" s="157" t="s">
        <v>1775</v>
      </c>
    </row>
    <row r="36" spans="1:11">
      <c r="A36" s="159" t="str">
        <f>"AMLA_VR_" &amp; B36 &amp; "_" &amp; C36 &amp; "_" &amp; TEXT(COUNTIFS($B$2:B36, B36, $C$2:C36, C36), "00")</f>
        <v>AMLA_VR_AML.01.01_C0180_01</v>
      </c>
      <c r="B36" s="157" t="s">
        <v>44</v>
      </c>
      <c r="C36" s="157" t="s">
        <v>98</v>
      </c>
      <c r="D36" s="157" t="s">
        <v>1566</v>
      </c>
      <c r="E36" s="160" t="str" cm="1">
        <f t="array" aca="1" ref="E36" ca="1">IF(C36="", INDIRECT("'"&amp;B36&amp;"'!B3"), INDEX(INDIRECT("'"&amp;B36&amp;"'!5:5"), COLUMN(INDIRECT("'"&amp;B36&amp;"'!"&amp;D36))))</f>
        <v>Wealth Management</v>
      </c>
      <c r="F36" s="157" t="s">
        <v>1776</v>
      </c>
      <c r="G36" s="157" t="s">
        <v>1773</v>
      </c>
      <c r="H36" s="158" t="s">
        <v>1782</v>
      </c>
      <c r="I36" s="160" t="str">
        <f ca="1">IF(TRIM(SUBSTITUTE('AML.01.01'!$S$11&amp;"",CHAR(160),""))="","OK",IF(COUNTIF(INDIRECT('AML.01.01'!$S$8),'AML.01.01'!$S$11)=0,$G36&amp;": "&amp;$H36,"OK"))</f>
        <v>OK</v>
      </c>
      <c r="J36" s="157" t="str">
        <f ca="1">IF(LEN(IF(VLOOKUP("AMLA_VR_AML.01.01_C0180_01",$A:$I,9,0)&lt;&gt;"OK",CHAR(10)&amp;VLOOKUP("AMLA_VR_AML.01.01_C0180_01",$A:$I,9,0),"")&amp;IF(VLOOKUP("AMLA_VR_AML.01.01_C0180_02",$A:$I,9,0)&lt;&gt;"OK",CHAR(10)&amp;VLOOKUP("AMLA_VR_AML.01.01_C0180_02",$A:$I,9,0),""))=0,"OK",MID(IF(VLOOKUP("AMLA_VR_AML.01.01_C0180_01",$A:$I,9,0)&lt;&gt;"OK",CHAR(10)&amp;VLOOKUP("AMLA_VR_AML.01.01_C0180_01",$A:$I,9,0),"")&amp;IF(VLOOKUP("AMLA_VR_AML.01.01_C0180_02",$A:$I,9,0)&lt;&gt;"OK",CHAR(10)&amp;VLOOKUP("AMLA_VR_AML.01.01_C0180_02",$A:$I,9,0),""),2,3000))</f>
        <v>ERROR: C0180 is mandatory</v>
      </c>
      <c r="K36" s="157" t="s">
        <v>1775</v>
      </c>
    </row>
    <row r="37" spans="1:11">
      <c r="A37" s="159" t="str">
        <f>"AMLA_VR_" &amp; B37 &amp; "_" &amp; C37 &amp; "_" &amp; TEXT(COUNTIFS($B$2:B37, B37, $C$2:C37, C37), "00")</f>
        <v>AMLA_VR_AML.01.01_C0180_02</v>
      </c>
      <c r="B37" s="160" t="s">
        <v>44</v>
      </c>
      <c r="C37" s="160" t="s">
        <v>98</v>
      </c>
      <c r="D37" s="160" t="s">
        <v>1566</v>
      </c>
      <c r="E37" s="160" t="str" cm="1">
        <f t="array" aca="1" ref="E37" ca="1">IF(C37="", INDIRECT("'"&amp;B37&amp;"'!B3"), INDEX(INDIRECT("'"&amp;B37&amp;"'!5:5"), COLUMN(INDIRECT("'"&amp;B37&amp;"'!"&amp;D37))))</f>
        <v>Wealth Management</v>
      </c>
      <c r="F37" s="160" t="s">
        <v>1778</v>
      </c>
      <c r="G37" s="160" t="s">
        <v>1773</v>
      </c>
      <c r="H37" s="161" t="s">
        <v>1796</v>
      </c>
      <c r="I37" s="157" t="str">
        <f>IF('AML.01.01'!$S$11="", $G37 &amp; ": " &amp; $H37, "OK")</f>
        <v>ERROR: C0180 is mandatory</v>
      </c>
      <c r="J37" s="160" t="str">
        <f ca="1">IF(LEN(IF(VLOOKUP("AMLA_VR_AML.01.01_C0180_01",$A:$I,9,0)&lt;&gt;"OK",CHAR(10)&amp;VLOOKUP("AMLA_VR_AML.01.01_C0180_01",$A:$I,9,0),"")&amp;IF(VLOOKUP("AMLA_VR_AML.01.01_C0180_02",$A:$I,9,0)&lt;&gt;"OK",CHAR(10)&amp;VLOOKUP("AMLA_VR_AML.01.01_C0180_02",$A:$I,9,0),""))=0,"OK",MID(IF(VLOOKUP("AMLA_VR_AML.01.01_C0180_01",$A:$I,9,0)&lt;&gt;"OK",CHAR(10)&amp;VLOOKUP("AMLA_VR_AML.01.01_C0180_01",$A:$I,9,0),"")&amp;IF(VLOOKUP("AMLA_VR_AML.01.01_C0180_02",$A:$I,9,0)&lt;&gt;"OK",CHAR(10)&amp;VLOOKUP("AMLA_VR_AML.01.01_C0180_02",$A:$I,9,0),""),2,3000))</f>
        <v>ERROR: C0180 is mandatory</v>
      </c>
      <c r="K37" s="160" t="s">
        <v>1775</v>
      </c>
    </row>
    <row r="38" spans="1:11">
      <c r="A38" s="159" t="str">
        <f>"AMLA_VR_" &amp; B38 &amp; "_" &amp; C38 &amp; "_" &amp; TEXT(COUNTIFS($B$2:B38, B38, $C$2:C38, C38), "00")</f>
        <v>AMLA_VR_AML.01.01_C0190_01</v>
      </c>
      <c r="B38" s="160" t="s">
        <v>44</v>
      </c>
      <c r="C38" s="160" t="s">
        <v>99</v>
      </c>
      <c r="D38" s="160" t="s">
        <v>1567</v>
      </c>
      <c r="E38" s="160" t="str" cm="1">
        <f t="array" aca="1" ref="E38" ca="1">IF(C38="", INDIRECT("'"&amp;B38&amp;"'!B3"), INDEX(INDIRECT("'"&amp;B38&amp;"'!5:5"), COLUMN(INDIRECT("'"&amp;B38&amp;"'!"&amp;D38))))</f>
        <v>Correspondent Services</v>
      </c>
      <c r="F38" s="160" t="s">
        <v>1776</v>
      </c>
      <c r="G38" s="160" t="s">
        <v>1773</v>
      </c>
      <c r="H38" s="161" t="s">
        <v>1782</v>
      </c>
      <c r="I38" s="157" t="str">
        <f ca="1">IF(TRIM(SUBSTITUTE('AML.01.01'!$T$11&amp;"",CHAR(160),""))="","OK",IF(COUNTIF(INDIRECT('AML.01.01'!$T$8),'AML.01.01'!$T$11)=0,$G38&amp;": "&amp;$H38,"OK"))</f>
        <v>OK</v>
      </c>
      <c r="J38" s="160" t="str">
        <f ca="1">IF(LEN(IF(VLOOKUP("AMLA_VR_AML.01.01_C0190_01",$A:$I,9,0)&lt;&gt;"OK",CHAR(10)&amp;VLOOKUP("AMLA_VR_AML.01.01_C0190_01",$A:$I,9,0),"")&amp;IF(VLOOKUP("AMLA_VR_AML.01.01_C0190_02",$A:$I,9,0)&lt;&gt;"OK",CHAR(10)&amp;VLOOKUP("AMLA_VR_AML.01.01_C0190_02",$A:$I,9,0),""))=0,"OK",MID(IF(VLOOKUP("AMLA_VR_AML.01.01_C0190_01",$A:$I,9,0)&lt;&gt;"OK",CHAR(10)&amp;VLOOKUP("AMLA_VR_AML.01.01_C0190_01",$A:$I,9,0),"")&amp;IF(VLOOKUP("AMLA_VR_AML.01.01_C0190_02",$A:$I,9,0)&lt;&gt;"OK",CHAR(10)&amp;VLOOKUP("AMLA_VR_AML.01.01_C0190_02",$A:$I,9,0),""),2,3000))</f>
        <v>ERROR: C0190 is mandatory</v>
      </c>
      <c r="K38" s="160" t="s">
        <v>1775</v>
      </c>
    </row>
    <row r="39" spans="1:11">
      <c r="A39" s="159" t="str">
        <f>"AMLA_VR_" &amp; B39 &amp; "_" &amp; C39 &amp; "_" &amp; TEXT(COUNTIFS($B$2:B39, B39, $C$2:C39, C39), "00")</f>
        <v>AMLA_VR_AML.01.01_C0190_02</v>
      </c>
      <c r="B39" s="157" t="s">
        <v>44</v>
      </c>
      <c r="C39" s="157" t="s">
        <v>99</v>
      </c>
      <c r="D39" s="157" t="s">
        <v>1567</v>
      </c>
      <c r="E39" s="160" t="str" cm="1">
        <f t="array" aca="1" ref="E39" ca="1">IF(C39="", INDIRECT("'"&amp;B39&amp;"'!B3"), INDEX(INDIRECT("'"&amp;B39&amp;"'!5:5"), COLUMN(INDIRECT("'"&amp;B39&amp;"'!"&amp;D39))))</f>
        <v>Correspondent Services</v>
      </c>
      <c r="F39" s="157" t="s">
        <v>1778</v>
      </c>
      <c r="G39" s="157" t="s">
        <v>1773</v>
      </c>
      <c r="H39" s="158" t="s">
        <v>1797</v>
      </c>
      <c r="I39" s="160" t="str">
        <f>IF('AML.01.01'!$T$11="", $G39 &amp; ": " &amp; $H39, "OK")</f>
        <v>ERROR: C0190 is mandatory</v>
      </c>
      <c r="J39" s="157" t="str">
        <f ca="1">IF(LEN(IF(VLOOKUP("AMLA_VR_AML.01.01_C0190_01",$A:$I,9,0)&lt;&gt;"OK",CHAR(10)&amp;VLOOKUP("AMLA_VR_AML.01.01_C0190_01",$A:$I,9,0),"")&amp;IF(VLOOKUP("AMLA_VR_AML.01.01_C0190_02",$A:$I,9,0)&lt;&gt;"OK",CHAR(10)&amp;VLOOKUP("AMLA_VR_AML.01.01_C0190_02",$A:$I,9,0),""))=0,"OK",MID(IF(VLOOKUP("AMLA_VR_AML.01.01_C0190_01",$A:$I,9,0)&lt;&gt;"OK",CHAR(10)&amp;VLOOKUP("AMLA_VR_AML.01.01_C0190_01",$A:$I,9,0),"")&amp;IF(VLOOKUP("AMLA_VR_AML.01.01_C0190_02",$A:$I,9,0)&lt;&gt;"OK",CHAR(10)&amp;VLOOKUP("AMLA_VR_AML.01.01_C0190_02",$A:$I,9,0),""),2,3000))</f>
        <v>ERROR: C0190 is mandatory</v>
      </c>
      <c r="K39" s="157" t="s">
        <v>1775</v>
      </c>
    </row>
    <row r="40" spans="1:11">
      <c r="A40" s="159" t="str">
        <f>"AMLA_VR_" &amp; B40 &amp; "_" &amp; C40 &amp; "_" &amp; TEXT(COUNTIFS($B$2:B40, B40, $C$2:C40, C40), "00")</f>
        <v>AMLA_VR_AML.01.01_C0200_01</v>
      </c>
      <c r="B40" s="157" t="s">
        <v>44</v>
      </c>
      <c r="C40" s="157" t="s">
        <v>100</v>
      </c>
      <c r="D40" s="157" t="s">
        <v>1568</v>
      </c>
      <c r="E40" s="160" t="str" cm="1">
        <f t="array" aca="1" ref="E40" ca="1">IF(C40="", INDIRECT("'"&amp;B40&amp;"'!B3"), INDEX(INDIRECT("'"&amp;B40&amp;"'!5:5"), COLUMN(INDIRECT("'"&amp;B40&amp;"'!"&amp;D40))))</f>
        <v>Trade Finance</v>
      </c>
      <c r="F40" s="157" t="s">
        <v>1776</v>
      </c>
      <c r="G40" s="157" t="s">
        <v>1773</v>
      </c>
      <c r="H40" s="158" t="s">
        <v>1782</v>
      </c>
      <c r="I40" s="160" t="str">
        <f ca="1">IF(TRIM(SUBSTITUTE('AML.01.01'!$U$11&amp;"",CHAR(160),""))="","OK",IF(COUNTIF(INDIRECT('AML.01.01'!$U$8),'AML.01.01'!$U$11)=0,$G40&amp;": "&amp;$H40,"OK"))</f>
        <v>OK</v>
      </c>
      <c r="J40" s="157" t="str">
        <f ca="1">IF(LEN(IF(VLOOKUP("AMLA_VR_AML.01.01_C0200_01",$A:$I,9,0)&lt;&gt;"OK",CHAR(10)&amp;VLOOKUP("AMLA_VR_AML.01.01_C0200_01",$A:$I,9,0),"")&amp;IF(VLOOKUP("AMLA_VR_AML.01.01_C0200_02",$A:$I,9,0)&lt;&gt;"OK",CHAR(10)&amp;VLOOKUP("AMLA_VR_AML.01.01_C0200_02",$A:$I,9,0),""))=0,"OK",MID(IF(VLOOKUP("AMLA_VR_AML.01.01_C0200_01",$A:$I,9,0)&lt;&gt;"OK",CHAR(10)&amp;VLOOKUP("AMLA_VR_AML.01.01_C0200_01",$A:$I,9,0),"")&amp;IF(VLOOKUP("AMLA_VR_AML.01.01_C0200_02",$A:$I,9,0)&lt;&gt;"OK",CHAR(10)&amp;VLOOKUP("AMLA_VR_AML.01.01_C0200_02",$A:$I,9,0),""),2,3000))</f>
        <v>ERROR: C0200 is mandatory</v>
      </c>
      <c r="K40" s="157" t="s">
        <v>1775</v>
      </c>
    </row>
    <row r="41" spans="1:11">
      <c r="A41" s="159" t="str">
        <f>"AMLA_VR_" &amp; B41 &amp; "_" &amp; C41 &amp; "_" &amp; TEXT(COUNTIFS($B$2:B41, B41, $C$2:C41, C41), "00")</f>
        <v>AMLA_VR_AML.01.01_C0200_02</v>
      </c>
      <c r="B41" s="160" t="s">
        <v>44</v>
      </c>
      <c r="C41" s="160" t="s">
        <v>100</v>
      </c>
      <c r="D41" s="160" t="s">
        <v>1568</v>
      </c>
      <c r="E41" s="160" t="str" cm="1">
        <f t="array" aca="1" ref="E41" ca="1">IF(C41="", INDIRECT("'"&amp;B41&amp;"'!B3"), INDEX(INDIRECT("'"&amp;B41&amp;"'!5:5"), COLUMN(INDIRECT("'"&amp;B41&amp;"'!"&amp;D41))))</f>
        <v>Trade Finance</v>
      </c>
      <c r="F41" s="160" t="s">
        <v>1778</v>
      </c>
      <c r="G41" s="160" t="s">
        <v>1773</v>
      </c>
      <c r="H41" s="161" t="s">
        <v>1798</v>
      </c>
      <c r="I41" s="157" t="str">
        <f>IF('AML.01.01'!$U$11="", $G41 &amp; ": " &amp; $H41, "OK")</f>
        <v>ERROR: C0200 is mandatory</v>
      </c>
      <c r="J41" s="160" t="str">
        <f ca="1">IF(LEN(IF(VLOOKUP("AMLA_VR_AML.01.01_C0200_01",$A:$I,9,0)&lt;&gt;"OK",CHAR(10)&amp;VLOOKUP("AMLA_VR_AML.01.01_C0200_01",$A:$I,9,0),"")&amp;IF(VLOOKUP("AMLA_VR_AML.01.01_C0200_02",$A:$I,9,0)&lt;&gt;"OK",CHAR(10)&amp;VLOOKUP("AMLA_VR_AML.01.01_C0200_02",$A:$I,9,0),""))=0,"OK",MID(IF(VLOOKUP("AMLA_VR_AML.01.01_C0200_01",$A:$I,9,0)&lt;&gt;"OK",CHAR(10)&amp;VLOOKUP("AMLA_VR_AML.01.01_C0200_01",$A:$I,9,0),"")&amp;IF(VLOOKUP("AMLA_VR_AML.01.01_C0200_02",$A:$I,9,0)&lt;&gt;"OK",CHAR(10)&amp;VLOOKUP("AMLA_VR_AML.01.01_C0200_02",$A:$I,9,0),""),2,3000))</f>
        <v>ERROR: C0200 is mandatory</v>
      </c>
      <c r="K41" s="160" t="s">
        <v>1775</v>
      </c>
    </row>
    <row r="42" spans="1:11">
      <c r="A42" s="159" t="str">
        <f>"AMLA_VR_" &amp; B42 &amp; "_" &amp; C42 &amp; "_" &amp; TEXT(COUNTIFS($B$2:B42, B42, $C$2:C42, C42), "00")</f>
        <v>AMLA_VR_AML.01.01_C0210_01</v>
      </c>
      <c r="B42" s="160" t="s">
        <v>44</v>
      </c>
      <c r="C42" s="160" t="s">
        <v>101</v>
      </c>
      <c r="D42" s="160" t="s">
        <v>1569</v>
      </c>
      <c r="E42" s="160" t="str" cm="1">
        <f t="array" aca="1" ref="E42" ca="1">IF(C42="", INDIRECT("'"&amp;B42&amp;"'!B3"), INDEX(INDIRECT("'"&amp;B42&amp;"'!5:5"), COLUMN(INDIRECT("'"&amp;B42&amp;"'!"&amp;D42))))</f>
        <v>E-money</v>
      </c>
      <c r="F42" s="160" t="s">
        <v>1776</v>
      </c>
      <c r="G42" s="160" t="s">
        <v>1773</v>
      </c>
      <c r="H42" s="161" t="s">
        <v>1782</v>
      </c>
      <c r="I42" s="157" t="str">
        <f ca="1">IF(TRIM(SUBSTITUTE('AML.01.01'!$V$11&amp;"",CHAR(160),""))="","OK",IF(COUNTIF(INDIRECT('AML.01.01'!$V$8),'AML.01.01'!$V$11)=0,$G42&amp;": "&amp;$H42,"OK"))</f>
        <v>OK</v>
      </c>
      <c r="J42" s="160" t="str">
        <f ca="1">IF(LEN(IF(VLOOKUP("AMLA_VR_AML.01.01_C0210_01",$A:$I,9,0)&lt;&gt;"OK",CHAR(10)&amp;VLOOKUP("AMLA_VR_AML.01.01_C0210_01",$A:$I,9,0),"")&amp;IF(VLOOKUP("AMLA_VR_AML.01.01_C0210_02",$A:$I,9,0)&lt;&gt;"OK",CHAR(10)&amp;VLOOKUP("AMLA_VR_AML.01.01_C0210_02",$A:$I,9,0),""))=0,"OK",MID(IF(VLOOKUP("AMLA_VR_AML.01.01_C0210_01",$A:$I,9,0)&lt;&gt;"OK",CHAR(10)&amp;VLOOKUP("AMLA_VR_AML.01.01_C0210_01",$A:$I,9,0),"")&amp;IF(VLOOKUP("AMLA_VR_AML.01.01_C0210_02",$A:$I,9,0)&lt;&gt;"OK",CHAR(10)&amp;VLOOKUP("AMLA_VR_AML.01.01_C0210_02",$A:$I,9,0),""),2,3000))</f>
        <v>ERROR: C0210 is mandatory</v>
      </c>
      <c r="K42" s="160" t="s">
        <v>1775</v>
      </c>
    </row>
    <row r="43" spans="1:11">
      <c r="A43" s="159" t="str">
        <f>"AMLA_VR_" &amp; B43 &amp; "_" &amp; C43 &amp; "_" &amp; TEXT(COUNTIFS($B$2:B43, B43, $C$2:C43, C43), "00")</f>
        <v>AMLA_VR_AML.01.01_C0210_02</v>
      </c>
      <c r="B43" s="157" t="s">
        <v>44</v>
      </c>
      <c r="C43" s="157" t="s">
        <v>101</v>
      </c>
      <c r="D43" s="157" t="s">
        <v>1569</v>
      </c>
      <c r="E43" s="160" t="str" cm="1">
        <f t="array" aca="1" ref="E43" ca="1">IF(C43="", INDIRECT("'"&amp;B43&amp;"'!B3"), INDEX(INDIRECT("'"&amp;B43&amp;"'!5:5"), COLUMN(INDIRECT("'"&amp;B43&amp;"'!"&amp;D43))))</f>
        <v>E-money</v>
      </c>
      <c r="F43" s="157" t="s">
        <v>1778</v>
      </c>
      <c r="G43" s="157" t="s">
        <v>1773</v>
      </c>
      <c r="H43" s="158" t="s">
        <v>1799</v>
      </c>
      <c r="I43" s="160" t="str">
        <f>IF('AML.01.01'!$V$11="", $G43 &amp; ": " &amp; $H43, "OK")</f>
        <v>ERROR: C0210 is mandatory</v>
      </c>
      <c r="J43" s="157" t="str">
        <f ca="1">IF(LEN(IF(VLOOKUP("AMLA_VR_AML.01.01_C0210_01",$A:$I,9,0)&lt;&gt;"OK",CHAR(10)&amp;VLOOKUP("AMLA_VR_AML.01.01_C0210_01",$A:$I,9,0),"")&amp;IF(VLOOKUP("AMLA_VR_AML.01.01_C0210_02",$A:$I,9,0)&lt;&gt;"OK",CHAR(10)&amp;VLOOKUP("AMLA_VR_AML.01.01_C0210_02",$A:$I,9,0),""))=0,"OK",MID(IF(VLOOKUP("AMLA_VR_AML.01.01_C0210_01",$A:$I,9,0)&lt;&gt;"OK",CHAR(10)&amp;VLOOKUP("AMLA_VR_AML.01.01_C0210_01",$A:$I,9,0),"")&amp;IF(VLOOKUP("AMLA_VR_AML.01.01_C0210_02",$A:$I,9,0)&lt;&gt;"OK",CHAR(10)&amp;VLOOKUP("AMLA_VR_AML.01.01_C0210_02",$A:$I,9,0),""),2,3000))</f>
        <v>ERROR: C0210 is mandatory</v>
      </c>
      <c r="K43" s="157" t="s">
        <v>1775</v>
      </c>
    </row>
    <row r="44" spans="1:11">
      <c r="A44" s="159" t="str">
        <f>"AMLA_VR_" &amp; B44 &amp; "_" &amp; C44 &amp; "_" &amp; TEXT(COUNTIFS($B$2:B44, B44, $C$2:C44, C44), "00")</f>
        <v>AMLA_VR_AML.01.01_C0220_01</v>
      </c>
      <c r="B44" s="157" t="s">
        <v>44</v>
      </c>
      <c r="C44" s="157" t="s">
        <v>102</v>
      </c>
      <c r="D44" s="157" t="s">
        <v>1570</v>
      </c>
      <c r="E44" s="160" t="str" cm="1">
        <f t="array" aca="1" ref="E44" ca="1">IF(C44="", INDIRECT("'"&amp;B44&amp;"'!B3"), INDEX(INDIRECT("'"&amp;B44&amp;"'!5:5"), COLUMN(INDIRECT("'"&amp;B44&amp;"'!"&amp;D44))))</f>
        <v>TCSP Services</v>
      </c>
      <c r="F44" s="157" t="s">
        <v>1776</v>
      </c>
      <c r="G44" s="157" t="s">
        <v>1773</v>
      </c>
      <c r="H44" s="158" t="s">
        <v>1782</v>
      </c>
      <c r="I44" s="160" t="str">
        <f ca="1">IF(TRIM(SUBSTITUTE('AML.01.01'!$W$11&amp;"",CHAR(160),""))="","OK",IF(COUNTIF(INDIRECT('AML.01.01'!$W$8),'AML.01.01'!$W$11)=0,$G44&amp;": "&amp;$H44,"OK"))</f>
        <v>OK</v>
      </c>
      <c r="J44" s="157" t="str">
        <f ca="1">IF(LEN(IF(VLOOKUP("AMLA_VR_AML.01.01_C0220_01",$A:$I,9,0)&lt;&gt;"OK",CHAR(10)&amp;VLOOKUP("AMLA_VR_AML.01.01_C0220_01",$A:$I,9,0),"")&amp;IF(VLOOKUP("AMLA_VR_AML.01.01_C0220_02",$A:$I,9,0)&lt;&gt;"OK",CHAR(10)&amp;VLOOKUP("AMLA_VR_AML.01.01_C0220_02",$A:$I,9,0),""))=0,"OK",MID(IF(VLOOKUP("AMLA_VR_AML.01.01_C0220_01",$A:$I,9,0)&lt;&gt;"OK",CHAR(10)&amp;VLOOKUP("AMLA_VR_AML.01.01_C0220_01",$A:$I,9,0),"")&amp;IF(VLOOKUP("AMLA_VR_AML.01.01_C0220_02",$A:$I,9,0)&lt;&gt;"OK",CHAR(10)&amp;VLOOKUP("AMLA_VR_AML.01.01_C0220_02",$A:$I,9,0),""),2,3000))</f>
        <v>ERROR: C0220 is mandatory</v>
      </c>
      <c r="K44" s="157" t="s">
        <v>1775</v>
      </c>
    </row>
    <row r="45" spans="1:11">
      <c r="A45" s="159" t="str">
        <f>"AMLA_VR_" &amp; B45 &amp; "_" &amp; C45 &amp; "_" &amp; TEXT(COUNTIFS($B$2:B45, B45, $C$2:C45, C45), "00")</f>
        <v>AMLA_VR_AML.01.01_C0220_02</v>
      </c>
      <c r="B45" s="160" t="s">
        <v>44</v>
      </c>
      <c r="C45" s="160" t="s">
        <v>102</v>
      </c>
      <c r="D45" s="160" t="s">
        <v>1570</v>
      </c>
      <c r="E45" s="160" t="str" cm="1">
        <f t="array" aca="1" ref="E45" ca="1">IF(C45="", INDIRECT("'"&amp;B45&amp;"'!B3"), INDEX(INDIRECT("'"&amp;B45&amp;"'!5:5"), COLUMN(INDIRECT("'"&amp;B45&amp;"'!"&amp;D45))))</f>
        <v>TCSP Services</v>
      </c>
      <c r="F45" s="160" t="s">
        <v>1778</v>
      </c>
      <c r="G45" s="160" t="s">
        <v>1773</v>
      </c>
      <c r="H45" s="161" t="s">
        <v>1800</v>
      </c>
      <c r="I45" s="157" t="str">
        <f>IF('AML.01.01'!$W$11="", $G45 &amp; ": " &amp; $H45, "OK")</f>
        <v>ERROR: C0220 is mandatory</v>
      </c>
      <c r="J45" s="160" t="str">
        <f ca="1">IF(LEN(IF(VLOOKUP("AMLA_VR_AML.01.01_C0220_01",$A:$I,9,0)&lt;&gt;"OK",CHAR(10)&amp;VLOOKUP("AMLA_VR_AML.01.01_C0220_01",$A:$I,9,0),"")&amp;IF(VLOOKUP("AMLA_VR_AML.01.01_C0220_02",$A:$I,9,0)&lt;&gt;"OK",CHAR(10)&amp;VLOOKUP("AMLA_VR_AML.01.01_C0220_02",$A:$I,9,0),""))=0,"OK",MID(IF(VLOOKUP("AMLA_VR_AML.01.01_C0220_01",$A:$I,9,0)&lt;&gt;"OK",CHAR(10)&amp;VLOOKUP("AMLA_VR_AML.01.01_C0220_01",$A:$I,9,0),"")&amp;IF(VLOOKUP("AMLA_VR_AML.01.01_C0220_02",$A:$I,9,0)&lt;&gt;"OK",CHAR(10)&amp;VLOOKUP("AMLA_VR_AML.01.01_C0220_02",$A:$I,9,0),""),2,3000))</f>
        <v>ERROR: C0220 is mandatory</v>
      </c>
      <c r="K45" s="160" t="s">
        <v>1775</v>
      </c>
    </row>
    <row r="46" spans="1:11">
      <c r="A46" s="159" t="str">
        <f>"AMLA_VR_" &amp; B46 &amp; "_" &amp; C46 &amp; "_" &amp; TEXT(COUNTIFS($B$2:B46, B46, $C$2:C46, C46), "00")</f>
        <v>AMLA_VR_AML.01.01_C0230_01</v>
      </c>
      <c r="B46" s="160" t="s">
        <v>44</v>
      </c>
      <c r="C46" s="160" t="s">
        <v>103</v>
      </c>
      <c r="D46" s="160" t="s">
        <v>1571</v>
      </c>
      <c r="E46" s="160" t="str" cm="1">
        <f t="array" aca="1" ref="E46" ca="1">IF(C46="", INDIRECT("'"&amp;B46&amp;"'!B3"), INDEX(INDIRECT("'"&amp;B46&amp;"'!5:5"), COLUMN(INDIRECT("'"&amp;B46&amp;"'!"&amp;D46))))</f>
        <v>Crypto Services (exchange, transfer)</v>
      </c>
      <c r="F46" s="160" t="s">
        <v>1776</v>
      </c>
      <c r="G46" s="160" t="s">
        <v>1773</v>
      </c>
      <c r="H46" s="161" t="s">
        <v>1782</v>
      </c>
      <c r="I46" s="157" t="str">
        <f ca="1">IF(TRIM(SUBSTITUTE('AML.01.01'!$X$11&amp;"",CHAR(160),""))="","OK",IF(COUNTIF(INDIRECT('AML.01.01'!$X$8),'AML.01.01'!$X$11)=0,$G46&amp;": "&amp;$H46,"OK"))</f>
        <v>OK</v>
      </c>
      <c r="J46" s="160" t="str">
        <f ca="1">IF(LEN(IF(VLOOKUP("AMLA_VR_AML.01.01_C0230_01",$A:$I,9,0)&lt;&gt;"OK",CHAR(10)&amp;VLOOKUP("AMLA_VR_AML.01.01_C0230_01",$A:$I,9,0),"")&amp;IF(VLOOKUP("AMLA_VR_AML.01.01_C0230_02",$A:$I,9,0)&lt;&gt;"OK",CHAR(10)&amp;VLOOKUP("AMLA_VR_AML.01.01_C0230_02",$A:$I,9,0),""))=0,"OK",MID(IF(VLOOKUP("AMLA_VR_AML.01.01_C0230_01",$A:$I,9,0)&lt;&gt;"OK",CHAR(10)&amp;VLOOKUP("AMLA_VR_AML.01.01_C0230_01",$A:$I,9,0),"")&amp;IF(VLOOKUP("AMLA_VR_AML.01.01_C0230_02",$A:$I,9,0)&lt;&gt;"OK",CHAR(10)&amp;VLOOKUP("AMLA_VR_AML.01.01_C0230_02",$A:$I,9,0),""),2,3000))</f>
        <v>ERROR: C0230 is mandatory</v>
      </c>
      <c r="K46" s="160" t="s">
        <v>1775</v>
      </c>
    </row>
    <row r="47" spans="1:11">
      <c r="A47" s="159" t="str">
        <f>"AMLA_VR_" &amp; B47 &amp; "_" &amp; C47 &amp; "_" &amp; TEXT(COUNTIFS($B$2:B47, B47, $C$2:C47, C47), "00")</f>
        <v>AMLA_VR_AML.01.01_C0230_02</v>
      </c>
      <c r="B47" s="157" t="s">
        <v>44</v>
      </c>
      <c r="C47" s="157" t="s">
        <v>103</v>
      </c>
      <c r="D47" s="157" t="s">
        <v>1571</v>
      </c>
      <c r="E47" s="160" t="str" cm="1">
        <f t="array" aca="1" ref="E47" ca="1">IF(C47="", INDIRECT("'"&amp;B47&amp;"'!B3"), INDEX(INDIRECT("'"&amp;B47&amp;"'!5:5"), COLUMN(INDIRECT("'"&amp;B47&amp;"'!"&amp;D47))))</f>
        <v>Crypto Services (exchange, transfer)</v>
      </c>
      <c r="F47" s="157" t="s">
        <v>1778</v>
      </c>
      <c r="G47" s="157" t="s">
        <v>1773</v>
      </c>
      <c r="H47" s="158" t="s">
        <v>1801</v>
      </c>
      <c r="I47" s="160" t="str">
        <f>IF('AML.01.01'!$X$11="", $G47 &amp; ": " &amp; $H47, "OK")</f>
        <v>ERROR: C0230 is mandatory</v>
      </c>
      <c r="J47" s="157" t="str">
        <f ca="1">IF(LEN(IF(VLOOKUP("AMLA_VR_AML.01.01_C0230_01",$A:$I,9,0)&lt;&gt;"OK",CHAR(10)&amp;VLOOKUP("AMLA_VR_AML.01.01_C0230_01",$A:$I,9,0),"")&amp;IF(VLOOKUP("AMLA_VR_AML.01.01_C0230_02",$A:$I,9,0)&lt;&gt;"OK",CHAR(10)&amp;VLOOKUP("AMLA_VR_AML.01.01_C0230_02",$A:$I,9,0),""))=0,"OK",MID(IF(VLOOKUP("AMLA_VR_AML.01.01_C0230_01",$A:$I,9,0)&lt;&gt;"OK",CHAR(10)&amp;VLOOKUP("AMLA_VR_AML.01.01_C0230_01",$A:$I,9,0),"")&amp;IF(VLOOKUP("AMLA_VR_AML.01.01_C0230_02",$A:$I,9,0)&lt;&gt;"OK",CHAR(10)&amp;VLOOKUP("AMLA_VR_AML.01.01_C0230_02",$A:$I,9,0),""),2,3000))</f>
        <v>ERROR: C0230 is mandatory</v>
      </c>
      <c r="K47" s="157" t="s">
        <v>1775</v>
      </c>
    </row>
    <row r="48" spans="1:11">
      <c r="A48" s="159" t="str">
        <f>"AMLA_VR_" &amp; B48 &amp; "_" &amp; C48 &amp; "_" &amp; TEXT(COUNTIFS($B$2:B48, B48, $C$2:C48, C48), "00")</f>
        <v>AMLA_VR_AML.01.01_C0240_01</v>
      </c>
      <c r="B48" s="157" t="s">
        <v>44</v>
      </c>
      <c r="C48" s="157" t="s">
        <v>104</v>
      </c>
      <c r="D48" s="157" t="s">
        <v>1572</v>
      </c>
      <c r="E48" s="160" t="str" cm="1">
        <f t="array" aca="1" ref="E48" ca="1">IF(C48="", INDIRECT("'"&amp;B48&amp;"'!B3"), INDEX(INDIRECT("'"&amp;B48&amp;"'!5:5"), COLUMN(INDIRECT("'"&amp;B48&amp;"'!"&amp;D48))))</f>
        <v>Management of UCITS</v>
      </c>
      <c r="F48" s="157" t="s">
        <v>1776</v>
      </c>
      <c r="G48" s="157" t="s">
        <v>1773</v>
      </c>
      <c r="H48" s="158" t="s">
        <v>1782</v>
      </c>
      <c r="I48" s="160" t="str">
        <f ca="1">IF(TRIM(SUBSTITUTE('AML.01.01'!$Y$11&amp;"",CHAR(160),""))="","OK",IF(COUNTIF(INDIRECT('AML.01.01'!$Y$8),'AML.01.01'!$Y$11)=0,$G48&amp;": "&amp;$H48,"OK"))</f>
        <v>OK</v>
      </c>
      <c r="J48" s="157" t="str">
        <f ca="1">IF(LEN(IF(VLOOKUP("AMLA_VR_AML.01.01_C0240_01",$A:$I,9,0)&lt;&gt;"OK",CHAR(10)&amp;VLOOKUP("AMLA_VR_AML.01.01_C0240_01",$A:$I,9,0),"")&amp;IF(VLOOKUP("AMLA_VR_AML.01.01_C0240_02",$A:$I,9,0)&lt;&gt;"OK",CHAR(10)&amp;VLOOKUP("AMLA_VR_AML.01.01_C0240_02",$A:$I,9,0),""))=0,"OK",MID(IF(VLOOKUP("AMLA_VR_AML.01.01_C0240_01",$A:$I,9,0)&lt;&gt;"OK",CHAR(10)&amp;VLOOKUP("AMLA_VR_AML.01.01_C0240_01",$A:$I,9,0),"")&amp;IF(VLOOKUP("AMLA_VR_AML.01.01_C0240_02",$A:$I,9,0)&lt;&gt;"OK",CHAR(10)&amp;VLOOKUP("AMLA_VR_AML.01.01_C0240_02",$A:$I,9,0),""),2,3000))</f>
        <v>ERROR: C0240 is mandatory</v>
      </c>
      <c r="K48" s="157" t="s">
        <v>1775</v>
      </c>
    </row>
    <row r="49" spans="1:11">
      <c r="A49" s="159" t="str">
        <f>"AMLA_VR_" &amp; B49 &amp; "_" &amp; C49 &amp; "_" &amp; TEXT(COUNTIFS($B$2:B49, B49, $C$2:C49, C49), "00")</f>
        <v>AMLA_VR_AML.01.01_C0240_02</v>
      </c>
      <c r="B49" s="160" t="s">
        <v>44</v>
      </c>
      <c r="C49" s="160" t="s">
        <v>104</v>
      </c>
      <c r="D49" s="160" t="s">
        <v>1572</v>
      </c>
      <c r="E49" s="160" t="str" cm="1">
        <f t="array" aca="1" ref="E49" ca="1">IF(C49="", INDIRECT("'"&amp;B49&amp;"'!B3"), INDEX(INDIRECT("'"&amp;B49&amp;"'!5:5"), COLUMN(INDIRECT("'"&amp;B49&amp;"'!"&amp;D49))))</f>
        <v>Management of UCITS</v>
      </c>
      <c r="F49" s="160" t="s">
        <v>1778</v>
      </c>
      <c r="G49" s="160" t="s">
        <v>1773</v>
      </c>
      <c r="H49" s="161" t="s">
        <v>1802</v>
      </c>
      <c r="I49" s="157" t="str">
        <f>IF('AML.01.01'!$Y$11="", $G49 &amp; ": " &amp; $H49, "OK")</f>
        <v>ERROR: C0240 is mandatory</v>
      </c>
      <c r="J49" s="160" t="str">
        <f ca="1">IF(LEN(IF(VLOOKUP("AMLA_VR_AML.01.01_C0240_01",$A:$I,9,0)&lt;&gt;"OK",CHAR(10)&amp;VLOOKUP("AMLA_VR_AML.01.01_C0240_01",$A:$I,9,0),"")&amp;IF(VLOOKUP("AMLA_VR_AML.01.01_C0240_02",$A:$I,9,0)&lt;&gt;"OK",CHAR(10)&amp;VLOOKUP("AMLA_VR_AML.01.01_C0240_02",$A:$I,9,0),""))=0,"OK",MID(IF(VLOOKUP("AMLA_VR_AML.01.01_C0240_01",$A:$I,9,0)&lt;&gt;"OK",CHAR(10)&amp;VLOOKUP("AMLA_VR_AML.01.01_C0240_01",$A:$I,9,0),"")&amp;IF(VLOOKUP("AMLA_VR_AML.01.01_C0240_02",$A:$I,9,0)&lt;&gt;"OK",CHAR(10)&amp;VLOOKUP("AMLA_VR_AML.01.01_C0240_02",$A:$I,9,0),""),2,3000))</f>
        <v>ERROR: C0240 is mandatory</v>
      </c>
      <c r="K49" s="160" t="s">
        <v>1775</v>
      </c>
    </row>
    <row r="50" spans="1:11">
      <c r="A50" s="159" t="str">
        <f>"AMLA_VR_" &amp; B50 &amp; "_" &amp; C50 &amp; "_" &amp; TEXT(COUNTIFS($B$2:B50, B50, $C$2:C50, C50), "00")</f>
        <v>AMLA_VR_AML.01.01_C0250_01</v>
      </c>
      <c r="B50" s="160" t="s">
        <v>44</v>
      </c>
      <c r="C50" s="160" t="s">
        <v>105</v>
      </c>
      <c r="D50" s="160" t="s">
        <v>1573</v>
      </c>
      <c r="E50" s="160" t="str" cm="1">
        <f t="array" aca="1" ref="E50" ca="1">IF(C50="", INDIRECT("'"&amp;B50&amp;"'!B3"), INDEX(INDIRECT("'"&amp;B50&amp;"'!5:5"), COLUMN(INDIRECT("'"&amp;B50&amp;"'!"&amp;D50))))</f>
        <v>Management of AIFs</v>
      </c>
      <c r="F50" s="160" t="s">
        <v>1776</v>
      </c>
      <c r="G50" s="160" t="s">
        <v>1773</v>
      </c>
      <c r="H50" s="161" t="s">
        <v>1782</v>
      </c>
      <c r="I50" s="157" t="str">
        <f ca="1">IF(TRIM(SUBSTITUTE('AML.01.01'!$Z$11&amp;"",CHAR(160),""))="","OK",IF(COUNTIF(INDIRECT('AML.01.01'!$Z$8),'AML.01.01'!$Z$11)=0,$G50&amp;": "&amp;$H50,"OK"))</f>
        <v>OK</v>
      </c>
      <c r="J50" s="160" t="str">
        <f ca="1">IF(LEN(IF(VLOOKUP("AMLA_VR_AML.01.01_C0250_01",$A:$I,9,0)&lt;&gt;"OK",CHAR(10)&amp;VLOOKUP("AMLA_VR_AML.01.01_C0250_01",$A:$I,9,0),"")&amp;IF(VLOOKUP("AMLA_VR_AML.01.01_C0250_02",$A:$I,9,0)&lt;&gt;"OK",CHAR(10)&amp;VLOOKUP("AMLA_VR_AML.01.01_C0250_02",$A:$I,9,0),""))=0,"OK",MID(IF(VLOOKUP("AMLA_VR_AML.01.01_C0250_01",$A:$I,9,0)&lt;&gt;"OK",CHAR(10)&amp;VLOOKUP("AMLA_VR_AML.01.01_C0250_01",$A:$I,9,0),"")&amp;IF(VLOOKUP("AMLA_VR_AML.01.01_C0250_02",$A:$I,9,0)&lt;&gt;"OK",CHAR(10)&amp;VLOOKUP("AMLA_VR_AML.01.01_C0250_02",$A:$I,9,0),""),2,3000))</f>
        <v>ERROR: C0250 is mandatory</v>
      </c>
      <c r="K50" s="160" t="s">
        <v>1775</v>
      </c>
    </row>
    <row r="51" spans="1:11">
      <c r="A51" s="159" t="str">
        <f>"AMLA_VR_" &amp; B51 &amp; "_" &amp; C51 &amp; "_" &amp; TEXT(COUNTIFS($B$2:B51, B51, $C$2:C51, C51), "00")</f>
        <v>AMLA_VR_AML.01.01_C0250_02</v>
      </c>
      <c r="B51" s="157" t="s">
        <v>44</v>
      </c>
      <c r="C51" s="157" t="s">
        <v>105</v>
      </c>
      <c r="D51" s="157" t="s">
        <v>1573</v>
      </c>
      <c r="E51" s="160" t="str" cm="1">
        <f t="array" aca="1" ref="E51" ca="1">IF(C51="", INDIRECT("'"&amp;B51&amp;"'!B3"), INDEX(INDIRECT("'"&amp;B51&amp;"'!5:5"), COLUMN(INDIRECT("'"&amp;B51&amp;"'!"&amp;D51))))</f>
        <v>Management of AIFs</v>
      </c>
      <c r="F51" s="157" t="s">
        <v>1778</v>
      </c>
      <c r="G51" s="157" t="s">
        <v>1773</v>
      </c>
      <c r="H51" s="158" t="s">
        <v>1803</v>
      </c>
      <c r="I51" s="160" t="str">
        <f>IF('AML.01.01'!$Z$11="", $G51 &amp; ": " &amp; $H51, "OK")</f>
        <v>ERROR: C0250 is mandatory</v>
      </c>
      <c r="J51" s="157" t="str">
        <f ca="1">IF(LEN(IF(VLOOKUP("AMLA_VR_AML.01.01_C0250_01",$A:$I,9,0)&lt;&gt;"OK",CHAR(10)&amp;VLOOKUP("AMLA_VR_AML.01.01_C0250_01",$A:$I,9,0),"")&amp;IF(VLOOKUP("AMLA_VR_AML.01.01_C0250_02",$A:$I,9,0)&lt;&gt;"OK",CHAR(10)&amp;VLOOKUP("AMLA_VR_AML.01.01_C0250_02",$A:$I,9,0),""))=0,"OK",MID(IF(VLOOKUP("AMLA_VR_AML.01.01_C0250_01",$A:$I,9,0)&lt;&gt;"OK",CHAR(10)&amp;VLOOKUP("AMLA_VR_AML.01.01_C0250_01",$A:$I,9,0),"")&amp;IF(VLOOKUP("AMLA_VR_AML.01.01_C0250_02",$A:$I,9,0)&lt;&gt;"OK",CHAR(10)&amp;VLOOKUP("AMLA_VR_AML.01.01_C0250_02",$A:$I,9,0),""),2,3000))</f>
        <v>ERROR: C0250 is mandatory</v>
      </c>
      <c r="K51" s="157" t="s">
        <v>1775</v>
      </c>
    </row>
    <row r="52" spans="1:11">
      <c r="A52" s="159" t="str">
        <f>"AMLA_VR_" &amp; B52 &amp; "_" &amp; C52 &amp; "_" &amp; TEXT(COUNTIFS($B$2:B52, B52, $C$2:C52, C52), "00")</f>
        <v>AMLA_VR_AML.01.01_C0260_01</v>
      </c>
      <c r="B52" s="157" t="s">
        <v>44</v>
      </c>
      <c r="C52" s="157" t="s">
        <v>106</v>
      </c>
      <c r="D52" s="157" t="s">
        <v>1574</v>
      </c>
      <c r="E52" s="160" t="str" cm="1">
        <f t="array" aca="1" ref="E52" ca="1">IF(C52="", INDIRECT("'"&amp;B52&amp;"'!B3"), INDEX(INDIRECT("'"&amp;B52&amp;"'!5:5"), COLUMN(INDIRECT("'"&amp;B52&amp;"'!"&amp;D52))))</f>
        <v>Crypto FIAT Cards</v>
      </c>
      <c r="F52" s="157" t="s">
        <v>1776</v>
      </c>
      <c r="G52" s="157" t="s">
        <v>1773</v>
      </c>
      <c r="H52" s="158" t="s">
        <v>1782</v>
      </c>
      <c r="I52" s="160" t="str">
        <f ca="1">IF(TRIM(SUBSTITUTE('AML.01.01'!$AA$11&amp;"",CHAR(160),""))="","OK",IF(COUNTIF(INDIRECT('AML.01.01'!$AA$8),'AML.01.01'!$AA$11)=0,$G52&amp;": "&amp;$H52,"OK"))</f>
        <v>OK</v>
      </c>
      <c r="J52" s="157" t="str">
        <f ca="1">IF(LEN(IF(VLOOKUP("AMLA_VR_AML.01.01_C0260_01",$A:$I,9,0)&lt;&gt;"OK",CHAR(10)&amp;VLOOKUP("AMLA_VR_AML.01.01_C0260_01",$A:$I,9,0),"")&amp;IF(VLOOKUP("AMLA_VR_AML.01.01_C0260_02",$A:$I,9,0)&lt;&gt;"OK",CHAR(10)&amp;VLOOKUP("AMLA_VR_AML.01.01_C0260_02",$A:$I,9,0),""))=0,"OK",MID(IF(VLOOKUP("AMLA_VR_AML.01.01_C0260_01",$A:$I,9,0)&lt;&gt;"OK",CHAR(10)&amp;VLOOKUP("AMLA_VR_AML.01.01_C0260_01",$A:$I,9,0),"")&amp;IF(VLOOKUP("AMLA_VR_AML.01.01_C0260_02",$A:$I,9,0)&lt;&gt;"OK",CHAR(10)&amp;VLOOKUP("AMLA_VR_AML.01.01_C0260_02",$A:$I,9,0),""),2,3000))</f>
        <v>ERROR: C0260 is mandatory</v>
      </c>
      <c r="K52" s="157" t="s">
        <v>1775</v>
      </c>
    </row>
    <row r="53" spans="1:11">
      <c r="A53" s="159" t="str">
        <f>"AMLA_VR_" &amp; B53 &amp; "_" &amp; C53 &amp; "_" &amp; TEXT(COUNTIFS($B$2:B53, B53, $C$2:C53, C53), "00")</f>
        <v>AMLA_VR_AML.01.01_C0260_02</v>
      </c>
      <c r="B53" s="160" t="s">
        <v>44</v>
      </c>
      <c r="C53" s="160" t="s">
        <v>106</v>
      </c>
      <c r="D53" s="160" t="s">
        <v>1574</v>
      </c>
      <c r="E53" s="160" t="str" cm="1">
        <f t="array" aca="1" ref="E53" ca="1">IF(C53="", INDIRECT("'"&amp;B53&amp;"'!B3"), INDEX(INDIRECT("'"&amp;B53&amp;"'!5:5"), COLUMN(INDIRECT("'"&amp;B53&amp;"'!"&amp;D53))))</f>
        <v>Crypto FIAT Cards</v>
      </c>
      <c r="F53" s="160" t="s">
        <v>1778</v>
      </c>
      <c r="G53" s="160" t="s">
        <v>1773</v>
      </c>
      <c r="H53" s="161" t="s">
        <v>1804</v>
      </c>
      <c r="I53" s="157" t="str">
        <f>IF('AML.01.01'!$AA$11="", $G53 &amp; ": " &amp; $H53, "OK")</f>
        <v>ERROR: C0260 is mandatory</v>
      </c>
      <c r="J53" s="160" t="str">
        <f ca="1">IF(LEN(IF(VLOOKUP("AMLA_VR_AML.01.01_C0260_01",$A:$I,9,0)&lt;&gt;"OK",CHAR(10)&amp;VLOOKUP("AMLA_VR_AML.01.01_C0260_01",$A:$I,9,0),"")&amp;IF(VLOOKUP("AMLA_VR_AML.01.01_C0260_02",$A:$I,9,0)&lt;&gt;"OK",CHAR(10)&amp;VLOOKUP("AMLA_VR_AML.01.01_C0260_02",$A:$I,9,0),""))=0,"OK",MID(IF(VLOOKUP("AMLA_VR_AML.01.01_C0260_01",$A:$I,9,0)&lt;&gt;"OK",CHAR(10)&amp;VLOOKUP("AMLA_VR_AML.01.01_C0260_01",$A:$I,9,0),"")&amp;IF(VLOOKUP("AMLA_VR_AML.01.01_C0260_02",$A:$I,9,0)&lt;&gt;"OK",CHAR(10)&amp;VLOOKUP("AMLA_VR_AML.01.01_C0260_02",$A:$I,9,0),""),2,3000))</f>
        <v>ERROR: C0260 is mandatory</v>
      </c>
      <c r="K53" s="160" t="s">
        <v>1775</v>
      </c>
    </row>
    <row r="54" spans="1:11">
      <c r="A54" s="159" t="str">
        <f>"AMLA_VR_" &amp; B54 &amp; "_" &amp; C54 &amp; "_" &amp; TEXT(COUNTIFS($B$2:B54, B54, $C$2:C54, C54), "00")</f>
        <v>AMLA_VR_AML.01.01_C0270_01</v>
      </c>
      <c r="B54" s="160" t="s">
        <v>44</v>
      </c>
      <c r="C54" s="160" t="s">
        <v>107</v>
      </c>
      <c r="D54" s="160" t="s">
        <v>1575</v>
      </c>
      <c r="E54" s="160" t="str" cm="1">
        <f t="array" aca="1" ref="E54" ca="1">IF(C54="", INDIRECT("'"&amp;B54&amp;"'!B3"), INDEX(INDIRECT("'"&amp;B54&amp;"'!5:5"), COLUMN(INDIRECT("'"&amp;B54&amp;"'!"&amp;D54))))</f>
        <v>Safe Custody Services</v>
      </c>
      <c r="F54" s="160" t="s">
        <v>1776</v>
      </c>
      <c r="G54" s="160" t="s">
        <v>1773</v>
      </c>
      <c r="H54" s="161" t="s">
        <v>1782</v>
      </c>
      <c r="I54" s="157" t="str">
        <f ca="1">IF(TRIM(SUBSTITUTE('AML.01.01'!$AB$11&amp;"",CHAR(160),""))="","OK",IF(COUNTIF(INDIRECT('AML.01.01'!$AB$8),'AML.01.01'!$AB$11)=0,$G54&amp;": "&amp;$H54,"OK"))</f>
        <v>OK</v>
      </c>
      <c r="J54" s="160" t="str">
        <f t="shared" ref="J54:J59" ca="1" si="0">IF(LEN(IF(VLOOKUP("AMLA_VR_AML.01.01_C0270_01",$A:$I,9,0)&lt;&gt;"OK",CHAR(10)&amp;VLOOKUP("AMLA_VR_AML.01.01_C0270_01",$A:$I,9,0),"")&amp;IF(VLOOKUP("AMLA_VR_AML.01.01_C0270_02",$A:$I,9,0)&lt;&gt;"OK",CHAR(10)&amp;VLOOKUP("AMLA_VR_AML.01.01_C0270_02",$A:$I,9,0),""))=0,"OK",MID(IF(VLOOKUP("AMLA_VR_AML.01.01_C0270_01",$A:$I,9,0)&lt;&gt;"OK",CHAR(10)&amp;VLOOKUP("AMLA_VR_AML.01.01_C0270_01",$A:$I,9,0),"")&amp;IF(VLOOKUP("AMLA_VR_AML.01.01_C0270_02",$A:$I,9,0)&lt;&gt;"OK",CHAR(10)&amp;VLOOKUP("AMLA_VR_AML.01.01_C0270_02",$A:$I,9,0),""),2,3000))</f>
        <v>ERROR: C0270 is mandatory</v>
      </c>
      <c r="K54" s="160" t="s">
        <v>1775</v>
      </c>
    </row>
    <row r="55" spans="1:11">
      <c r="A55" s="159" t="str">
        <f>"AMLA_VR_" &amp; B55 &amp; "_" &amp; C55 &amp; "_" &amp; TEXT(COUNTIFS($B$2:B55, B55, $C$2:C55, C55), "00")</f>
        <v>AMLA_VR_AML.01.01_C0270_02</v>
      </c>
      <c r="B55" s="157" t="s">
        <v>44</v>
      </c>
      <c r="C55" s="157" t="s">
        <v>107</v>
      </c>
      <c r="D55" s="157" t="s">
        <v>1575</v>
      </c>
      <c r="E55" s="160" t="str" cm="1">
        <f t="array" aca="1" ref="E55" ca="1">IF(C55="", INDIRECT("'"&amp;B55&amp;"'!B3"), INDEX(INDIRECT("'"&amp;B55&amp;"'!5:5"), COLUMN(INDIRECT("'"&amp;B55&amp;"'!"&amp;D55))))</f>
        <v>Safe Custody Services</v>
      </c>
      <c r="F55" s="157" t="s">
        <v>1778</v>
      </c>
      <c r="G55" s="157" t="s">
        <v>1773</v>
      </c>
      <c r="H55" s="158" t="s">
        <v>1805</v>
      </c>
      <c r="I55" s="160" t="str">
        <f>IF('AML.01.01'!$AB$11="", $G55 &amp; ": " &amp; $H55, "OK")</f>
        <v>ERROR: C0270 is mandatory</v>
      </c>
      <c r="J55" s="157" t="str">
        <f t="shared" ca="1" si="0"/>
        <v>ERROR: C0270 is mandatory</v>
      </c>
      <c r="K55" s="157" t="s">
        <v>1775</v>
      </c>
    </row>
    <row r="56" spans="1:11">
      <c r="A56" s="159" t="str">
        <f>"AMLA_VR_" &amp; B56 &amp; "_" &amp; C56 &amp; "_" &amp; TEXT(COUNTIFS($B$2:B56, B56, $C$2:C56, C56), "00")</f>
        <v>AMLA_VR_AML.01.01_C0280_01</v>
      </c>
      <c r="B56" s="160" t="s">
        <v>44</v>
      </c>
      <c r="C56" s="160" t="s">
        <v>108</v>
      </c>
      <c r="D56" s="160" t="s">
        <v>1576</v>
      </c>
      <c r="E56" s="160" t="str" cm="1">
        <f t="array" aca="1" ref="E56" ca="1">IF(C56="", INDIRECT("'"&amp;B56&amp;"'!B3"), INDEX(INDIRECT("'"&amp;B56&amp;"'!5:5"), COLUMN(INDIRECT("'"&amp;B56&amp;"'!"&amp;D56))))</f>
        <v>Crowdfunding</v>
      </c>
      <c r="F56" s="160" t="s">
        <v>1776</v>
      </c>
      <c r="G56" s="160" t="s">
        <v>1773</v>
      </c>
      <c r="H56" s="161" t="s">
        <v>1782</v>
      </c>
      <c r="I56" s="160" t="str">
        <f ca="1">IF(TRIM(SUBSTITUTE('AML.01.01'!$AC$11&amp;"",CHAR(160),""))="","OK",IF(COUNTIF(INDIRECT('AML.01.01'!$AC$8),'AML.01.01'!$AC$11)=0,$G56&amp;": "&amp;$H56,"OK"))</f>
        <v>OK</v>
      </c>
      <c r="J56" s="160" t="str">
        <f t="shared" ca="1" si="0"/>
        <v>ERROR: C0270 is mandatory</v>
      </c>
      <c r="K56" s="160" t="s">
        <v>1775</v>
      </c>
    </row>
    <row r="57" spans="1:11">
      <c r="A57" s="159" t="str">
        <f>"AMLA_VR_" &amp; B57 &amp; "_" &amp; C57 &amp; "_" &amp; TEXT(COUNTIFS($B$2:B57, B57, $C$2:C57, C57), "00")</f>
        <v>AMLA_VR_AML.01.01_C0280_02</v>
      </c>
      <c r="B57" s="157" t="s">
        <v>44</v>
      </c>
      <c r="C57" s="157" t="s">
        <v>108</v>
      </c>
      <c r="D57" s="157" t="s">
        <v>1576</v>
      </c>
      <c r="E57" s="160" t="str" cm="1">
        <f t="array" aca="1" ref="E57" ca="1">IF(C57="", INDIRECT("'"&amp;B57&amp;"'!B3"), INDEX(INDIRECT("'"&amp;B57&amp;"'!5:5"), COLUMN(INDIRECT("'"&amp;B57&amp;"'!"&amp;D57))))</f>
        <v>Crowdfunding</v>
      </c>
      <c r="F57" s="157" t="s">
        <v>1778</v>
      </c>
      <c r="G57" s="157" t="s">
        <v>1773</v>
      </c>
      <c r="H57" s="158" t="s">
        <v>1806</v>
      </c>
      <c r="I57" s="157" t="str">
        <f>IF('AML.01.01'!$AC$11="", $G57 &amp; ": " &amp; $H57, "OK")</f>
        <v>ERROR: C0280 is mandatory</v>
      </c>
      <c r="J57" s="157" t="str">
        <f t="shared" ca="1" si="0"/>
        <v>ERROR: C0270 is mandatory</v>
      </c>
      <c r="K57" s="157" t="s">
        <v>1775</v>
      </c>
    </row>
    <row r="58" spans="1:11">
      <c r="A58" s="159" t="str">
        <f>"AMLA_VR_" &amp; B58 &amp; "_" &amp; C58 &amp; "_" &amp; TEXT(COUNTIFS($B$2:B58, B58, $C$2:C58, C58), "00")</f>
        <v>AMLA_VR_AML.01.01_C0290_01</v>
      </c>
      <c r="B58" s="160" t="s">
        <v>44</v>
      </c>
      <c r="C58" s="160" t="s">
        <v>109</v>
      </c>
      <c r="D58" s="160" t="s">
        <v>1577</v>
      </c>
      <c r="E58" s="160" t="str" cm="1">
        <f t="array" aca="1" ref="E58" ca="1">IF(C58="", INDIRECT("'"&amp;B58&amp;"'!B3"), INDEX(INDIRECT("'"&amp;B58&amp;"'!5:5"), COLUMN(INDIRECT("'"&amp;B58&amp;"'!"&amp;D58))))</f>
        <v>Cash Transactions</v>
      </c>
      <c r="F58" s="160" t="s">
        <v>1776</v>
      </c>
      <c r="G58" s="160" t="s">
        <v>1773</v>
      </c>
      <c r="H58" s="161" t="s">
        <v>1782</v>
      </c>
      <c r="I58" s="160" t="str">
        <f ca="1">IF(TRIM(SUBSTITUTE('AML.01.01'!$AD$11&amp;"",CHAR(160),""))="","OK",IF(COUNTIF(INDIRECT('AML.01.01'!$AD$8),'AML.01.01'!$AD$11)=0,$G58&amp;": "&amp;$H58,"OK"))</f>
        <v>OK</v>
      </c>
      <c r="J58" s="160" t="str">
        <f t="shared" ca="1" si="0"/>
        <v>ERROR: C0270 is mandatory</v>
      </c>
      <c r="K58" s="160" t="s">
        <v>1775</v>
      </c>
    </row>
    <row r="59" spans="1:11">
      <c r="A59" s="159" t="str">
        <f>"AMLA_VR_" &amp; B59 &amp; "_" &amp; C59 &amp; "_" &amp; TEXT(COUNTIFS($B$2:B59, B59, $C$2:C59, C59), "00")</f>
        <v>AMLA_VR_AML.01.01_C0290_02</v>
      </c>
      <c r="B59" s="157" t="s">
        <v>44</v>
      </c>
      <c r="C59" s="157" t="s">
        <v>109</v>
      </c>
      <c r="D59" s="157" t="s">
        <v>1577</v>
      </c>
      <c r="E59" s="160" t="str" cm="1">
        <f t="array" aca="1" ref="E59" ca="1">IF(C59="", INDIRECT("'"&amp;B59&amp;"'!B3"), INDEX(INDIRECT("'"&amp;B59&amp;"'!5:5"), COLUMN(INDIRECT("'"&amp;B59&amp;"'!"&amp;D59))))</f>
        <v>Cash Transactions</v>
      </c>
      <c r="F59" s="157" t="s">
        <v>1778</v>
      </c>
      <c r="G59" s="157" t="s">
        <v>1773</v>
      </c>
      <c r="H59" s="158" t="s">
        <v>1807</v>
      </c>
      <c r="I59" s="157" t="str">
        <f>IF('AML.01.01'!$AD$11="", $G59 &amp; ": " &amp; $H59, "OK")</f>
        <v>ERROR: C0290 is mandatory</v>
      </c>
      <c r="J59" s="157" t="str">
        <f t="shared" ca="1" si="0"/>
        <v>ERROR: C0270 is mandatory</v>
      </c>
      <c r="K59" s="157" t="s">
        <v>1775</v>
      </c>
    </row>
    <row r="60" spans="1:11">
      <c r="A60" s="159" t="str">
        <f>"AMLA_VR_" &amp; B60 &amp; "_" &amp; C60 &amp; "_" &amp; TEXT(COUNTIFS($B$2:B60, B60, $C$2:C60, C60), "00")</f>
        <v>AMLA_VR_AML.01.02_C0010_01</v>
      </c>
      <c r="B60" s="157" t="s">
        <v>120</v>
      </c>
      <c r="C60" s="157" t="s">
        <v>81</v>
      </c>
      <c r="D60" s="157" t="s">
        <v>1808</v>
      </c>
      <c r="E60" s="160" t="str" cm="1">
        <f t="array" aca="1" ref="E60" ca="1">IF(C60="", INDIRECT("'"&amp;B60&amp;"'!B3"), INDEX(INDIRECT("'"&amp;B60&amp;"'!5:5"), COLUMN(INDIRECT("'"&amp;B60&amp;"'!"&amp;D60))))</f>
        <v>Template Reference</v>
      </c>
      <c r="F60" s="157" t="s">
        <v>1776</v>
      </c>
      <c r="G60" s="157" t="s">
        <v>1773</v>
      </c>
      <c r="H60" s="158" t="s">
        <v>1782</v>
      </c>
      <c r="I60" s="163" t="s">
        <v>1809</v>
      </c>
      <c r="J60" s="157" t="str">
        <f>IF(LEN(IF(VLOOKUP("AMLA_VR_AML.01.02_C0010_01",$A:$I,9,0)&lt;&gt;"OK",CHAR(10)&amp;VLOOKUP("AMLA_VR_AML.01.02_C0010_01",$A:$I,9,0),""))=0,"OK",MID(IF(VLOOKUP("AMLA_VR_AML.01.02_C0010_01",$A:$I,9,0)&lt;&gt;"OK",CHAR(10)&amp;VLOOKUP("AMLA_VR_AML.01.02_C0010_01",$A:$I,9,0),""),2,3000))</f>
        <v>OK</v>
      </c>
      <c r="K60" s="157" t="s">
        <v>1775</v>
      </c>
    </row>
    <row r="61" spans="1:11">
      <c r="A61" s="159" t="str">
        <f>"AMLA_VR_" &amp; B61 &amp; "_" &amp; C61 &amp; "_" &amp; TEXT(COUNTIFS($B$2:B61, B61, $C$2:C61, C61), "00")</f>
        <v>AMLA_VR_AML.01.02_C0020_01</v>
      </c>
      <c r="B61" s="160" t="s">
        <v>120</v>
      </c>
      <c r="C61" s="160" t="s">
        <v>82</v>
      </c>
      <c r="D61" s="160" t="s">
        <v>1810</v>
      </c>
      <c r="E61" s="160" t="str" cm="1">
        <f t="array" aca="1" ref="E61" ca="1">IF(C61="", INDIRECT("'"&amp;B61&amp;"'!B3"), INDEX(INDIRECT("'"&amp;B61&amp;"'!5:5"), COLUMN(INDIRECT("'"&amp;B61&amp;"'!"&amp;D61))))</f>
        <v>Column Reference</v>
      </c>
      <c r="F61" s="160" t="s">
        <v>1776</v>
      </c>
      <c r="G61" s="160" t="s">
        <v>1773</v>
      </c>
      <c r="H61" s="161" t="s">
        <v>1782</v>
      </c>
      <c r="I61" s="160" t="str">
        <f>IF(SUMPRODUCT((TRIM(SUBSTITUTE('AML.01.02'!$C$11:$C$50&amp;"",CHAR(160),""))&lt;&gt;"")*(ISNA(MATCH('AML.01.02'!$C$11:$C$50,LIST_AMLA_00008,0))))=0,"OK",$G61&amp;": "&amp;$H61&amp;" ("&amp;SUMPRODUCT((TRIM(SUBSTITUTE('AML.01.02'!$C$11:$C$50&amp;"",CHAR(160),""))&lt;&gt;"")*(ISNA(MATCH('AML.01.02'!$C$11:$C$50,LIST_AMLA_00008,0))))&amp;" rows)")</f>
        <v>OK</v>
      </c>
      <c r="J61" s="160" t="str">
        <f>IF(LEN(IF(VLOOKUP("AMLA_VR_AML.01.02_C0020_01",$A:$I,9,0)&lt;&gt;"OK",CHAR(10)&amp;VLOOKUP("AMLA_VR_AML.01.02_C0020_01",$A:$I,9,0),""))=0,"OK",MID(IF(VLOOKUP("AMLA_VR_AML.01.02_C0020_01",$A:$I,9,0)&lt;&gt;"OK",CHAR(10)&amp;VLOOKUP("AMLA_VR_AML.01.02_C0020_01",$A:$I,9,0),""),2,3000))</f>
        <v>OK</v>
      </c>
      <c r="K61" s="160" t="s">
        <v>1775</v>
      </c>
    </row>
    <row r="62" spans="1:11">
      <c r="A62" s="159" t="str">
        <f>"AMLA_VR_" &amp; B62 &amp; "_" &amp; C62 &amp; "_" &amp; TEXT(COUNTIFS($B$2:B62, B62, $C$2:C62, C62), "00")</f>
        <v>AMLA_VR_AML.01.02_C0030_01</v>
      </c>
      <c r="B62" s="157" t="s">
        <v>120</v>
      </c>
      <c r="C62" s="157" t="s">
        <v>83</v>
      </c>
      <c r="D62" s="157" t="s">
        <v>1811</v>
      </c>
      <c r="E62" s="160" t="str" cm="1">
        <f t="array" aca="1" ref="E62" ca="1">IF(C62="", INDIRECT("'"&amp;B62&amp;"'!B3"), INDEX(INDIRECT("'"&amp;B62&amp;"'!5:5"), COLUMN(INDIRECT("'"&amp;B62&amp;"'!"&amp;D62))))</f>
        <v>Country Reference</v>
      </c>
      <c r="F62" s="157" t="s">
        <v>1776</v>
      </c>
      <c r="G62" s="157" t="s">
        <v>1773</v>
      </c>
      <c r="H62" s="158" t="s">
        <v>1782</v>
      </c>
      <c r="I62" s="160" t="str">
        <f>IF(SUMPRODUCT((TRIM(SUBSTITUTE('AML.01.02'!$D$11:$D$50&amp;"",CHAR(160),""))&lt;&gt;"")*(ISNA(MATCH('AML.01.02'!$D$11:$D$50,LIST_AMLA_00005,0))))=0,"OK",$G62&amp;": "&amp;$H62&amp;" ("&amp;SUMPRODUCT((TRIM(SUBSTITUTE('AML.01.02'!$D$11:$D$50&amp;"",CHAR(160),""))&lt;&gt;"")*(ISNA(MATCH('AML.01.02'!$D$11:$D$50,LIST_AMLA_00005,0))))&amp;" rows)")</f>
        <v>OK</v>
      </c>
      <c r="J62" s="157" t="str">
        <f>IF(LEN(IF(VLOOKUP("AMLA_VR_AML.01.02_C0030_01",$A:$I,9,0)&lt;&gt;"OK",CHAR(10)&amp;VLOOKUP("AMLA_VR_AML.01.02_C0030_01",$A:$I,9,0),""))=0,"OK",MID(IF(VLOOKUP("AMLA_VR_AML.01.02_C0030_01",$A:$I,9,0)&lt;&gt;"OK",CHAR(10)&amp;VLOOKUP("AMLA_VR_AML.01.02_C0030_01",$A:$I,9,0),""),2,3000))</f>
        <v>OK</v>
      </c>
      <c r="K62" s="157" t="s">
        <v>1775</v>
      </c>
    </row>
    <row r="63" spans="1:11">
      <c r="A63" s="159" t="str">
        <f>"AMLA_VR_" &amp; B63 &amp; "_" &amp; C63 &amp; "_" &amp; TEXT(COUNTIFS($B$2:B63, B63, $C$2:C63, C63), "00")</f>
        <v>AMLA_VR_AML.01.02_C0040_01</v>
      </c>
      <c r="B63" s="160" t="s">
        <v>120</v>
      </c>
      <c r="C63" s="160" t="s">
        <v>84</v>
      </c>
      <c r="D63" s="160" t="s">
        <v>1812</v>
      </c>
      <c r="E63" s="160" t="str" cm="1">
        <f t="array" aca="1" ref="E63" ca="1">IF(C63="", INDIRECT("'"&amp;B63&amp;"'!B3"), INDEX(INDIRECT("'"&amp;B63&amp;"'!5:5"), COLUMN(INDIRECT("'"&amp;B63&amp;"'!"&amp;D63))))</f>
        <v>Comment Content</v>
      </c>
      <c r="F63" s="160" t="s">
        <v>1776</v>
      </c>
      <c r="G63" s="160" t="s">
        <v>1773</v>
      </c>
      <c r="H63" s="161" t="s">
        <v>1777</v>
      </c>
      <c r="I63" s="160" t="str" cm="1">
        <f t="array" aca="1" ref="I63" ca="1">IF(SUMPRODUCT((TRIM(SUBSTITUTE('AML.01.02'!$E$11:$E$50&amp;"",CHAR(160),""))&lt;&gt;"")*(OR(LEN('AML.01.02'!$E$11:$E$50)&gt;300,ISNUMBER(FIND(CHAR(9),'AML.01.02'!$E$11:$E$50)),ISNUMBER(
     ND(CHAR(10),'AML.01.02'!$E$11:$E$50)),ISNUMBER(FIND(CHAR(13),'AML.01.02'!$E$11:$E$50)))))=0,"OK",$G63&amp;": "&amp;$H63&amp;"
     ("&amp;SUMPRODUCT((TRIM(SUBSTITUTE('AML.01.02'!$E$11:$E$50&amp;"",CHAR(160),""))&lt;&gt;"")*(OR(LEN('AML.01.02'!$E$11:$E$50)&gt;300,ISNUMBER(FIND(CHAR(9),'AML.01.02'!$E$11:$E$50)),ISNUMBER(F
     D(CHAR(10),'AML.01.02'!$E$11:$E$50)),ISNUMBER(FIND(CHAR(13),'AML.01.02'!$E$11:$E$50)))))&amp;" rows)")</f>
        <v>OK</v>
      </c>
      <c r="J63" s="160" t="str">
        <f ca="1">IF(LEN(IF(VLOOKUP("AMLA_VR_AML.01.02_C0040_01",$A:$I,9,0)&lt;&gt;"OK",CHAR(10)&amp;VLOOKUP("AMLA_VR_AML.01.02_C0040_01",$A:$I,9,0),"")&amp;IF(VLOOKUP("AMLA_VR_AML.01.02_C0040_02",$A:$I,9,0)&lt;&gt;"OK",CHAR(10)&amp;VLOOKUP("AMLA_VR_AML.01.02_C0040_02",$A:$I,9,0),""))=0,"OK",MID(IF(VLOOKUP("AMLA_VR_AML.01.02_C0040_01",$A:$I,9,0)&lt;&gt;"OK",CHAR(10)&amp;VLOOKUP("AMLA_VR_AML.01.02_C0040_01",$A:$I,9,0),"")&amp;IF(VLOOKUP("AMLA_VR_AML.01.02_C0040_02",$A:$I,9,0)&lt;&gt;"OK",CHAR(10)&amp;VLOOKUP("AMLA_VR_AML.01.02_C0040_02",$A:$I,9,0),""),2,3000))</f>
        <v>OK</v>
      </c>
      <c r="K63" s="160" t="s">
        <v>1775</v>
      </c>
    </row>
    <row r="64" spans="1:11">
      <c r="A64" s="159" t="str">
        <f>"AMLA_VR_" &amp; B64 &amp; "_" &amp; C64 &amp; "_" &amp; TEXT(COUNTIFS($B$2:B64, B64, $C$2:C64, C64), "00")</f>
        <v>AMLA_VR_AML.01.02_C0040_02</v>
      </c>
      <c r="B64" s="160" t="s">
        <v>120</v>
      </c>
      <c r="C64" s="160" t="s">
        <v>84</v>
      </c>
      <c r="D64" s="160" t="s">
        <v>1552</v>
      </c>
      <c r="E64" s="160" t="str" cm="1">
        <f t="array" aca="1" ref="E64" ca="1">IF(C64="", INDIRECT("'"&amp;B64&amp;"'!B3"), INDEX(INDIRECT("'"&amp;B64&amp;"'!5:5"), COLUMN(INDIRECT("'"&amp;B64&amp;"'!"&amp;D64))))</f>
        <v>Comment Content</v>
      </c>
      <c r="F64" s="157" t="s">
        <v>1772</v>
      </c>
      <c r="G64" s="160" t="s">
        <v>1813</v>
      </c>
      <c r="H64" s="161" t="s">
        <v>1814</v>
      </c>
      <c r="I64" s="160" t="str" cm="1">
        <f t="array" ref="I64">IF(SUMPRODUCT((TRIM(SUBSTITUTE('AML.01.02'!$B$11:B50,CHAR(160),""))&lt;&gt;"") * (TRIM(SUBSTITUTE('AML.01.02'!$E$11:E50,CHAR(160),""))=""))=0, "OK", "there are (" &amp; SUMPRODUCT((TRIM(SUBSTITUTE('AML.01.02'!$B$11:B50,CHAR(160),""))&lt;&gt;"") * (TRIM(SUBSTITUTE('AML.01.02'!$E$11:E50,CHAR(160),""))="")) &amp; ") rows with " &amp; $G64 &amp; "(s) as " &amp; $H64)</f>
        <v>OK</v>
      </c>
      <c r="J64" s="160" t="str">
        <f ca="1">IF(LEN(IF(VLOOKUP("AMLA_VR_AML.01.02_C0040_01",$A:$I,9,0)&lt;&gt;"OK",CHAR(10)&amp;VLOOKUP("AMLA_VR_AML.01.02_C0040_01",$A:$I,9,0),"")&amp;IF(VLOOKUP("AMLA_VR_AML.01.02_C0040_02",$A:$I,9,0)&lt;&gt;"OK",CHAR(10)&amp;VLOOKUP("AMLA_VR_AML.01.02_C0040_02",$A:$I,9,0),""))=0,"OK",MID(IF(VLOOKUP("AMLA_VR_AML.01.02_C0040_01",$A:$I,9,0)&lt;&gt;"OK",CHAR(10)&amp;VLOOKUP("AMLA_VR_AML.01.02_C0040_01",$A:$I,9,0),"")&amp;IF(VLOOKUP("AMLA_VR_AML.01.02_C0040_02",$A:$I,9,0)&lt;&gt;"OK",CHAR(10)&amp;VLOOKUP("AMLA_VR_AML.01.02_C0040_02",$A:$I,9,0),""),2,3000))</f>
        <v>OK</v>
      </c>
      <c r="K64" s="160" t="s">
        <v>1775</v>
      </c>
    </row>
    <row r="65" spans="1:11">
      <c r="A65" s="159" t="str">
        <f>"AMLA_VR_" &amp; B65 &amp; "_" &amp; C65 &amp; "_" &amp; TEXT(COUNTIFS($B$2:B65, B65, $C$2:C65, C65), "00")</f>
        <v>AMLA_VR_AML.02.01_C0010_01</v>
      </c>
      <c r="B65" s="157" t="s">
        <v>129</v>
      </c>
      <c r="C65" s="157" t="s">
        <v>81</v>
      </c>
      <c r="D65" s="157" t="s">
        <v>1549</v>
      </c>
      <c r="E65" s="160" t="str" cm="1">
        <f t="array" aca="1" ref="E65" ca="1">IF(C65="", INDIRECT("'"&amp;B65&amp;"'!B3"), INDEX(INDIRECT("'"&amp;B65&amp;"'!5:5"), COLUMN(INDIRECT("'"&amp;B65&amp;"'!"&amp;D65))))</f>
        <v>Total Customers</v>
      </c>
      <c r="F65" s="157" t="s">
        <v>1772</v>
      </c>
      <c r="G65" s="157" t="s">
        <v>1773</v>
      </c>
      <c r="H65" s="158" t="s">
        <v>1815</v>
      </c>
      <c r="I65" s="157" t="str">
        <f>IF('AML.02.01'!$B$11&lt;0, $G65 &amp; ": " &amp; $H65, "OK")</f>
        <v>OK</v>
      </c>
      <c r="J65" s="157" t="str">
        <f>IF(LEN(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0,"OK",MID(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2,3000))</f>
        <v>OK</v>
      </c>
      <c r="K65" s="157" t="s">
        <v>1775</v>
      </c>
    </row>
    <row r="66" spans="1:11">
      <c r="A66" s="159" t="str">
        <f>"AMLA_VR_" &amp; B66 &amp; "_" &amp; C66 &amp; "_" &amp; TEXT(COUNTIFS($B$2:B66, B66, $C$2:C66, C66), "00")</f>
        <v>AMLA_VR_AML.02.01_C0010_02</v>
      </c>
      <c r="B66" s="157" t="s">
        <v>129</v>
      </c>
      <c r="C66" s="157" t="s">
        <v>81</v>
      </c>
      <c r="D66" s="157" t="s">
        <v>1549</v>
      </c>
      <c r="E66" s="160" t="str" cm="1">
        <f t="array" aca="1" ref="E66" ca="1">IF(C66="", INDIRECT("'"&amp;B66&amp;"'!B3"), INDEX(INDIRECT("'"&amp;B66&amp;"'!5:5"), COLUMN(INDIRECT("'"&amp;B66&amp;"'!"&amp;D66))))</f>
        <v>Total Customers</v>
      </c>
      <c r="F66" s="157" t="s">
        <v>1776</v>
      </c>
      <c r="G66" s="157" t="s">
        <v>1773</v>
      </c>
      <c r="H66" s="158" t="s">
        <v>1816</v>
      </c>
      <c r="I66" s="157" t="str">
        <f>IF(TRIM(SUBSTITUTE('AML.02.01'!$B$11&amp;"",CHAR(160),""))="","OK",IF(OR(NOT(ISNUMBER('AML.02.01'!$B$11)),IFERROR(INT('AML.02.01'!$B$11)&lt;&gt;'AML.02.01'!$B$11,TRUE)),$G66&amp;": "&amp;$H66,"OK"))</f>
        <v>OK</v>
      </c>
      <c r="J66" s="157" t="str">
        <f>IF(LEN(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0,"OK",MID(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2,3000))</f>
        <v>OK</v>
      </c>
      <c r="K66" s="157" t="s">
        <v>1775</v>
      </c>
    </row>
    <row r="67" spans="1:11">
      <c r="A67" s="159" t="str">
        <f>"AMLA_VR_" &amp; B67 &amp; "_" &amp; C67 &amp; "_" &amp; TEXT(COUNTIFS($B$2:B67, B67, $C$2:C67, C67), "00")</f>
        <v>AMLA_VR_AML.02.01_C0010_03</v>
      </c>
      <c r="B67" s="160" t="s">
        <v>129</v>
      </c>
      <c r="C67" s="160" t="s">
        <v>81</v>
      </c>
      <c r="D67" s="160" t="s">
        <v>1549</v>
      </c>
      <c r="E67" s="160" t="str" cm="1">
        <f t="array" aca="1" ref="E67" ca="1">IF(C67="", INDIRECT("'"&amp;B67&amp;"'!B3"), INDEX(INDIRECT("'"&amp;B67&amp;"'!5:5"), COLUMN(INDIRECT("'"&amp;B67&amp;"'!"&amp;D67))))</f>
        <v>Total Customers</v>
      </c>
      <c r="F67" s="160" t="s">
        <v>1772</v>
      </c>
      <c r="G67" s="160" t="s">
        <v>1813</v>
      </c>
      <c r="H67" s="161" t="s">
        <v>1817</v>
      </c>
      <c r="I67" s="160" t="str">
        <f>IF('AML.02.01'!$B$11 &lt; ('AML.02.01'!$C$11+'AML.02.01'!$D$11), $G67 &amp; ": " &amp; $H67, "OK")</f>
        <v>OK</v>
      </c>
      <c r="J67" s="160" t="str">
        <f>IF(LEN(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0,"OK",MID(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2,3000))</f>
        <v>OK</v>
      </c>
      <c r="K67" s="160" t="s">
        <v>1775</v>
      </c>
    </row>
    <row r="68" spans="1:11">
      <c r="A68" s="159" t="str">
        <f>"AMLA_VR_" &amp; B68 &amp; "_" &amp; C68 &amp; "_" &amp; TEXT(COUNTIFS($B$2:B68, B68, $C$2:C68, C68), "00")</f>
        <v>AMLA_VR_AML.02.01_C0010_04</v>
      </c>
      <c r="B68" s="157" t="s">
        <v>129</v>
      </c>
      <c r="C68" s="157" t="s">
        <v>81</v>
      </c>
      <c r="D68" s="157" t="s">
        <v>1549</v>
      </c>
      <c r="E68" s="160" t="str" cm="1">
        <f t="array" aca="1" ref="E68" ca="1">IF(C68="", INDIRECT("'"&amp;B68&amp;"'!B3"), INDEX(INDIRECT("'"&amp;B68&amp;"'!5:5"), COLUMN(INDIRECT("'"&amp;B68&amp;"'!"&amp;D68))))</f>
        <v>Total Customers</v>
      </c>
      <c r="F68" s="157" t="s">
        <v>1772</v>
      </c>
      <c r="G68" s="157" t="s">
        <v>1813</v>
      </c>
      <c r="H68" s="158" t="s">
        <v>1818</v>
      </c>
      <c r="I68" s="157" t="str">
        <f>IF('AML.02.01'!$B$11 &gt; ('AML.02.01'!$C$11+'AML.02.01'!$D$11), $G68 &amp; ": " &amp; $H68, "OK")</f>
        <v>OK</v>
      </c>
      <c r="J68" s="157" t="str">
        <f>IF(LEN(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0,"OK",MID(IF(VLOOKUP("AMLA_VR_AML.02.01_C0010_01",$A:$I,9,0)&lt;&gt;"OK",CHAR(10)&amp;VLOOKUP("AMLA_VR_AML.02.01_C0010_01",$A:$I,9,0),"")&amp;IF(VLOOKUP("AMLA_VR_AML.02.01_C0010_02",$A:$I,9,0)&lt;&gt;"OK",CHAR(10)&amp;VLOOKUP("AMLA_VR_AML.02.01_C0010_02",$A:$I,9,0),"")&amp;IF(VLOOKUP("AMLA_VR_AML.02.01_C0010_03",$A:$I,9,0)&lt;&gt;"OK",CHAR(10)&amp;VLOOKUP("AMLA_VR_AML.02.01_C0010_03",$A:$I,9,0),"")&amp;IF(VLOOKUP("AMLA_VR_AML.02.01_C0010_04",$A:$I,9,0)&lt;&gt;"OK",CHAR(10)&amp;VLOOKUP("AMLA_VR_AML.02.01_C0010_04",$A:$I,9,0),""),2,3000))</f>
        <v>OK</v>
      </c>
      <c r="K68" s="157" t="s">
        <v>1775</v>
      </c>
    </row>
    <row r="69" spans="1:11">
      <c r="A69" s="159" t="str">
        <f>"AMLA_VR_" &amp; B69 &amp; "_" &amp; C69 &amp; "_" &amp; TEXT(COUNTIFS($B$2:B69, B69, $C$2:C69, C69), "00")</f>
        <v>AMLA_VR_AML.02.01_C0020_01</v>
      </c>
      <c r="B69" s="160" t="s">
        <v>129</v>
      </c>
      <c r="C69" s="160" t="s">
        <v>82</v>
      </c>
      <c r="D69" s="160" t="s">
        <v>1550</v>
      </c>
      <c r="E69" s="160" t="str" cm="1">
        <f t="array" aca="1" ref="E69" ca="1">IF(C69="", INDIRECT("'"&amp;B69&amp;"'!B3"), INDEX(INDIRECT("'"&amp;B69&amp;"'!5:5"), COLUMN(INDIRECT("'"&amp;B69&amp;"'!"&amp;D69))))</f>
        <v>Natural Persons</v>
      </c>
      <c r="F69" s="160" t="s">
        <v>1772</v>
      </c>
      <c r="G69" s="160" t="s">
        <v>1773</v>
      </c>
      <c r="H69" s="161" t="s">
        <v>1819</v>
      </c>
      <c r="I69" s="160" t="str">
        <f>IF('AML.02.01'!$C$11&lt;0, $G69 &amp; ": " &amp; $H69, "OK")</f>
        <v>OK</v>
      </c>
      <c r="J69" s="160" t="str">
        <f>IF(LEN(IF(VLOOKUP("AMLA_VR_AML.02.01_C0020_01",$A:$I,9,0)&lt;&gt;"OK",CHAR(10)&amp;VLOOKUP("AMLA_VR_AML.02.01_C0020_01",$A:$I,9,0),"")&amp;IF(VLOOKUP("AMLA_VR_AML.02.01_C0020_02",$A:$I,9,0)&lt;&gt;"OK",CHAR(10)&amp;VLOOKUP("AMLA_VR_AML.02.01_C0020_02",$A:$I,9,0),""))=0,"OK",MID(IF(VLOOKUP("AMLA_VR_AML.02.01_C0020_01",$A:$I,9,0)&lt;&gt;"OK",CHAR(10)&amp;VLOOKUP("AMLA_VR_AML.02.01_C0020_01",$A:$I,9,0),"")&amp;IF(VLOOKUP("AMLA_VR_AML.02.01_C0020_02",$A:$I,9,0)&lt;&gt;"OK",CHAR(10)&amp;VLOOKUP("AMLA_VR_AML.02.01_C0020_02",$A:$I,9,0),""),2,3000))</f>
        <v>OK</v>
      </c>
      <c r="K69" s="160" t="s">
        <v>1775</v>
      </c>
    </row>
    <row r="70" spans="1:11">
      <c r="A70" s="159" t="str">
        <f>"AMLA_VR_" &amp; B70 &amp; "_" &amp; C70 &amp; "_" &amp; TEXT(COUNTIFS($B$2:B70, B70, $C$2:C70, C70), "00")</f>
        <v>AMLA_VR_AML.02.01_C0020_02</v>
      </c>
      <c r="B70" s="160" t="s">
        <v>129</v>
      </c>
      <c r="C70" s="160" t="s">
        <v>82</v>
      </c>
      <c r="D70" s="160" t="s">
        <v>1550</v>
      </c>
      <c r="E70" s="160" t="str" cm="1">
        <f t="array" aca="1" ref="E70" ca="1">IF(C70="", INDIRECT("'"&amp;B70&amp;"'!B3"), INDEX(INDIRECT("'"&amp;B70&amp;"'!5:5"), COLUMN(INDIRECT("'"&amp;B70&amp;"'!"&amp;D70))))</f>
        <v>Natural Persons</v>
      </c>
      <c r="F70" s="160" t="s">
        <v>1776</v>
      </c>
      <c r="G70" s="160" t="s">
        <v>1773</v>
      </c>
      <c r="H70" s="161" t="s">
        <v>1816</v>
      </c>
      <c r="I70" s="160" t="str">
        <f>IF(TRIM(SUBSTITUTE('AML.02.01'!$C$11&amp;"",CHAR(160),""))="","OK",IF(OR(NOT(ISNUMBER('AML.02.01'!$C$11)),IFERROR(INT('AML.02.01'!$C$11)&lt;&gt;'AML.02.01'!$C$11,TRUE)),$G70&amp;": "&amp;$H70,"OK"))</f>
        <v>OK</v>
      </c>
      <c r="J70" s="160" t="str">
        <f>IF(LEN(IF(VLOOKUP("AMLA_VR_AML.02.01_C0020_01",$A:$I,9,0)&lt;&gt;"OK",CHAR(10)&amp;VLOOKUP("AMLA_VR_AML.02.01_C0020_01",$A:$I,9,0),"")&amp;IF(VLOOKUP("AMLA_VR_AML.02.01_C0020_02",$A:$I,9,0)&lt;&gt;"OK",CHAR(10)&amp;VLOOKUP("AMLA_VR_AML.02.01_C0020_02",$A:$I,9,0),""))=0,"OK",MID(IF(VLOOKUP("AMLA_VR_AML.02.01_C0020_01",$A:$I,9,0)&lt;&gt;"OK",CHAR(10)&amp;VLOOKUP("AMLA_VR_AML.02.01_C0020_01",$A:$I,9,0),"")&amp;IF(VLOOKUP("AMLA_VR_AML.02.01_C0020_02",$A:$I,9,0)&lt;&gt;"OK",CHAR(10)&amp;VLOOKUP("AMLA_VR_AML.02.01_C0020_02",$A:$I,9,0),""),2,3000))</f>
        <v>OK</v>
      </c>
      <c r="K70" s="160" t="s">
        <v>1775</v>
      </c>
    </row>
    <row r="71" spans="1:11">
      <c r="A71" s="159" t="str">
        <f>"AMLA_VR_" &amp; B71 &amp; "_" &amp; C71 &amp; "_" &amp; TEXT(COUNTIFS($B$2:B71, B71, $C$2:C71, C71), "00")</f>
        <v>AMLA_VR_AML.02.01_C0030_01</v>
      </c>
      <c r="B71" s="157" t="s">
        <v>129</v>
      </c>
      <c r="C71" s="157" t="s">
        <v>83</v>
      </c>
      <c r="D71" s="157" t="s">
        <v>1551</v>
      </c>
      <c r="E71" s="160" t="str" cm="1">
        <f t="array" aca="1" ref="E71" ca="1">IF(C71="", INDIRECT("'"&amp;B71&amp;"'!B3"), INDEX(INDIRECT("'"&amp;B71&amp;"'!5:5"), COLUMN(INDIRECT("'"&amp;B71&amp;"'!"&amp;D71))))</f>
        <v>Legal Entities</v>
      </c>
      <c r="F71" s="157" t="s">
        <v>1772</v>
      </c>
      <c r="G71" s="157" t="s">
        <v>1773</v>
      </c>
      <c r="H71" s="158" t="s">
        <v>1820</v>
      </c>
      <c r="I71" s="157" t="str">
        <f>IF('AML.02.01'!$D$11&lt;0, $G71 &amp; ": " &amp; $H71, "OK")</f>
        <v>OK</v>
      </c>
      <c r="J71" s="157" t="str">
        <f>IF(LEN(IF(VLOOKUP("AMLA_VR_AML.02.01_C0030_01",$A:$I,9,0)&lt;&gt;"OK",CHAR(10)&amp;VLOOKUP("AMLA_VR_AML.02.01_C0030_01",$A:$I,9,0),"")&amp;IF(VLOOKUP("AMLA_VR_AML.02.01_C0030_02",$A:$I,9,0)&lt;&gt;"OK",CHAR(10)&amp;VLOOKUP("AMLA_VR_AML.02.01_C0030_02",$A:$I,9,0),""))=0,"OK",MID(IF(VLOOKUP("AMLA_VR_AML.02.01_C0030_01",$A:$I,9,0)&lt;&gt;"OK",CHAR(10)&amp;VLOOKUP("AMLA_VR_AML.02.01_C0030_01",$A:$I,9,0),"")&amp;IF(VLOOKUP("AMLA_VR_AML.02.01_C0030_02",$A:$I,9,0)&lt;&gt;"OK",CHAR(10)&amp;VLOOKUP("AMLA_VR_AML.02.01_C0030_02",$A:$I,9,0),""),2,3000))</f>
        <v>OK</v>
      </c>
      <c r="K71" s="157" t="s">
        <v>1775</v>
      </c>
    </row>
    <row r="72" spans="1:11">
      <c r="A72" s="159" t="str">
        <f>"AMLA_VR_" &amp; B72 &amp; "_" &amp; C72 &amp; "_" &amp; TEXT(COUNTIFS($B$2:B72, B72, $C$2:C72, C72), "00")</f>
        <v>AMLA_VR_AML.02.01_C0030_02</v>
      </c>
      <c r="B72" s="157" t="s">
        <v>129</v>
      </c>
      <c r="C72" s="157" t="s">
        <v>83</v>
      </c>
      <c r="D72" s="157" t="s">
        <v>1551</v>
      </c>
      <c r="E72" s="160" t="str" cm="1">
        <f t="array" aca="1" ref="E72" ca="1">IF(C72="", INDIRECT("'"&amp;B72&amp;"'!B3"), INDEX(INDIRECT("'"&amp;B72&amp;"'!5:5"), COLUMN(INDIRECT("'"&amp;B72&amp;"'!"&amp;D72))))</f>
        <v>Legal Entities</v>
      </c>
      <c r="F72" s="157" t="s">
        <v>1776</v>
      </c>
      <c r="G72" s="157" t="s">
        <v>1773</v>
      </c>
      <c r="H72" s="158" t="s">
        <v>1816</v>
      </c>
      <c r="I72" s="157" t="str">
        <f>IF(TRIM(SUBSTITUTE('AML.02.01'!$D$11&amp;"",CHAR(160),""))="","OK",IF(OR(NOT(ISNUMBER('AML.02.01'!$D$11)),IFERROR(INT('AML.02.01'!$D$11)&lt;&gt;'AML.02.01'!$D$11,TRUE)),$G72&amp;": "&amp;$H72,"OK"))</f>
        <v>OK</v>
      </c>
      <c r="J72" s="157" t="str">
        <f>IF(LEN(IF(VLOOKUP("AMLA_VR_AML.02.01_C0030_01",$A:$I,9,0)&lt;&gt;"OK",CHAR(10)&amp;VLOOKUP("AMLA_VR_AML.02.01_C0030_01",$A:$I,9,0),"")&amp;IF(VLOOKUP("AMLA_VR_AML.02.01_C0030_02",$A:$I,9,0)&lt;&gt;"OK",CHAR(10)&amp;VLOOKUP("AMLA_VR_AML.02.01_C0030_02",$A:$I,9,0),""))=0,"OK",MID(IF(VLOOKUP("AMLA_VR_AML.02.01_C0030_01",$A:$I,9,0)&lt;&gt;"OK",CHAR(10)&amp;VLOOKUP("AMLA_VR_AML.02.01_C0030_01",$A:$I,9,0),"")&amp;IF(VLOOKUP("AMLA_VR_AML.02.01_C0030_02",$A:$I,9,0)&lt;&gt;"OK",CHAR(10)&amp;VLOOKUP("AMLA_VR_AML.02.01_C0030_02",$A:$I,9,0),""),2,3000))</f>
        <v>OK</v>
      </c>
      <c r="K72" s="157" t="s">
        <v>1775</v>
      </c>
    </row>
    <row r="73" spans="1:11">
      <c r="A73" s="159" t="str">
        <f>"AMLA_VR_" &amp; B73 &amp; "_" &amp; C73 &amp; "_" &amp; TEXT(COUNTIFS($B$2:B73, B73, $C$2:C73, C73), "00")</f>
        <v>AMLA_VR_AML.02.01_C0040_01</v>
      </c>
      <c r="B73" s="160" t="s">
        <v>129</v>
      </c>
      <c r="C73" s="160" t="s">
        <v>84</v>
      </c>
      <c r="D73" s="160" t="s">
        <v>1552</v>
      </c>
      <c r="E73" s="160" t="str" cm="1">
        <f t="array" aca="1" ref="E73" ca="1">IF(C73="", INDIRECT("'"&amp;B73&amp;"'!B3"), INDEX(INDIRECT("'"&amp;B73&amp;"'!5:5"), COLUMN(INDIRECT("'"&amp;B73&amp;"'!"&amp;D73))))</f>
        <v>Natural Persons - PEPs, Family Members or Close Associates</v>
      </c>
      <c r="F73" s="160" t="s">
        <v>1772</v>
      </c>
      <c r="G73" s="160" t="s">
        <v>1773</v>
      </c>
      <c r="H73" s="161" t="s">
        <v>1821</v>
      </c>
      <c r="I73" s="160" t="str">
        <f>IF('AML.02.01'!$E$11&lt;0, $G73 &amp; ": " &amp; $H73, "OK")</f>
        <v>OK</v>
      </c>
      <c r="J73" s="160" t="str">
        <f>IF(LEN(IF(VLOOKUP("AMLA_VR_AML.02.01_C0040_01",$A:$I,9,0)&lt;&gt;"OK",CHAR(10)&amp;VLOOKUP("AMLA_VR_AML.02.01_C0040_01",$A:$I,9,0),"")&amp;IF(VLOOKUP("AMLA_VR_AML.02.01_C0040_02",$A:$I,9,0)&lt;&gt;"OK",CHAR(10)&amp;VLOOKUP("AMLA_VR_AML.02.01_C0040_02",$A:$I,9,0),""))=0,"OK",MID(IF(VLOOKUP("AMLA_VR_AML.02.01_C0040_01",$A:$I,9,0)&lt;&gt;"OK",CHAR(10)&amp;VLOOKUP("AMLA_VR_AML.02.01_C0040_01",$A:$I,9,0),"")&amp;IF(VLOOKUP("AMLA_VR_AML.02.01_C0040_02",$A:$I,9,0)&lt;&gt;"OK",CHAR(10)&amp;VLOOKUP("AMLA_VR_AML.02.01_C0040_02",$A:$I,9,0),""),2,3000))</f>
        <v>OK</v>
      </c>
      <c r="K73" s="160" t="s">
        <v>1775</v>
      </c>
    </row>
    <row r="74" spans="1:11">
      <c r="A74" s="159" t="str">
        <f>"AMLA_VR_" &amp; B74 &amp; "_" &amp; C74 &amp; "_" &amp; TEXT(COUNTIFS($B$2:B74, B74, $C$2:C74, C74), "00")</f>
        <v>AMLA_VR_AML.02.01_C0040_02</v>
      </c>
      <c r="B74" s="160" t="s">
        <v>129</v>
      </c>
      <c r="C74" s="160" t="s">
        <v>84</v>
      </c>
      <c r="D74" s="160" t="s">
        <v>1552</v>
      </c>
      <c r="E74" s="160" t="str" cm="1">
        <f t="array" aca="1" ref="E74" ca="1">IF(C74="", INDIRECT("'"&amp;B74&amp;"'!B3"), INDEX(INDIRECT("'"&amp;B74&amp;"'!5:5"), COLUMN(INDIRECT("'"&amp;B74&amp;"'!"&amp;D74))))</f>
        <v>Natural Persons - PEPs, Family Members or Close Associates</v>
      </c>
      <c r="F74" s="160" t="s">
        <v>1776</v>
      </c>
      <c r="G74" s="160" t="s">
        <v>1773</v>
      </c>
      <c r="H74" s="161" t="s">
        <v>1816</v>
      </c>
      <c r="I74" s="160" t="str">
        <f>IF(TRIM(SUBSTITUTE('AML.02.01'!$E$11&amp;"",CHAR(160),""))="","OK",IF(OR(NOT(ISNUMBER('AML.02.01'!$E$11)),IFERROR(INT('AML.02.01'!$E$11)&lt;&gt;'AML.02.01'!$E$11,TRUE)),$G74&amp;": "&amp;$H74,"OK"))</f>
        <v>OK</v>
      </c>
      <c r="J74" s="160" t="str">
        <f>IF(LEN(IF(VLOOKUP("AMLA_VR_AML.02.01_C0040_01",$A:$I,9,0)&lt;&gt;"OK",CHAR(10)&amp;VLOOKUP("AMLA_VR_AML.02.01_C0040_01",$A:$I,9,0),"")&amp;IF(VLOOKUP("AMLA_VR_AML.02.01_C0040_02",$A:$I,9,0)&lt;&gt;"OK",CHAR(10)&amp;VLOOKUP("AMLA_VR_AML.02.01_C0040_02",$A:$I,9,0),""))=0,"OK",MID(IF(VLOOKUP("AMLA_VR_AML.02.01_C0040_01",$A:$I,9,0)&lt;&gt;"OK",CHAR(10)&amp;VLOOKUP("AMLA_VR_AML.02.01_C0040_01",$A:$I,9,0),"")&amp;IF(VLOOKUP("AMLA_VR_AML.02.01_C0040_02",$A:$I,9,0)&lt;&gt;"OK",CHAR(10)&amp;VLOOKUP("AMLA_VR_AML.02.01_C0040_02",$A:$I,9,0),""),2,3000))</f>
        <v>OK</v>
      </c>
      <c r="K74" s="160" t="s">
        <v>1775</v>
      </c>
    </row>
    <row r="75" spans="1:11">
      <c r="A75" s="159" t="str">
        <f>"AMLA_VR_" &amp; B75 &amp; "_" &amp; C75 &amp; "_" &amp; TEXT(COUNTIFS($B$2:B75, B75, $C$2:C75, C75), "00")</f>
        <v>AMLA_VR_AML.02.01_C0050_01</v>
      </c>
      <c r="B75" s="157" t="s">
        <v>129</v>
      </c>
      <c r="C75" s="157" t="s">
        <v>85</v>
      </c>
      <c r="D75" s="157" t="s">
        <v>1553</v>
      </c>
      <c r="E75" s="160" t="str" cm="1">
        <f t="array" aca="1" ref="E75" ca="1">IF(C75="", INDIRECT("'"&amp;B75&amp;"'!B3"), INDEX(INDIRECT("'"&amp;B75&amp;"'!5:5"), COLUMN(INDIRECT("'"&amp;B75&amp;"'!"&amp;D75))))</f>
        <v>Legal Entities – PEPs, Family Members or Close Associates as BOs</v>
      </c>
      <c r="F75" s="157" t="s">
        <v>1772</v>
      </c>
      <c r="G75" s="157" t="s">
        <v>1773</v>
      </c>
      <c r="H75" s="158" t="s">
        <v>1822</v>
      </c>
      <c r="I75" s="157" t="str">
        <f>IF('AML.02.01'!$F$11&lt;0, $G75 &amp; ": " &amp; $H75, "OK")</f>
        <v>OK</v>
      </c>
      <c r="J75" s="157" t="str">
        <f>IF(LEN(IF(VLOOKUP("AMLA_VR_AML.02.01_C0050_01",$A:$I,9,0)&lt;&gt;"OK",CHAR(10)&amp;VLOOKUP("AMLA_VR_AML.02.01_C0050_01",$A:$I,9,0),"")&amp;IF(VLOOKUP("AMLA_VR_AML.02.01_C0050_02",$A:$I,9,0)&lt;&gt;"OK",CHAR(10)&amp;VLOOKUP("AMLA_VR_AML.02.01_C0050_02",$A:$I,9,0),""))=0,"OK",MID(IF(VLOOKUP("AMLA_VR_AML.02.01_C0050_01",$A:$I,9,0)&lt;&gt;"OK",CHAR(10)&amp;VLOOKUP("AMLA_VR_AML.02.01_C0050_01",$A:$I,9,0),"")&amp;IF(VLOOKUP("AMLA_VR_AML.02.01_C0050_02",$A:$I,9,0)&lt;&gt;"OK",CHAR(10)&amp;VLOOKUP("AMLA_VR_AML.02.01_C0050_02",$A:$I,9,0),""),2,3000))</f>
        <v>OK</v>
      </c>
      <c r="K75" s="157" t="s">
        <v>1775</v>
      </c>
    </row>
    <row r="76" spans="1:11">
      <c r="A76" s="159" t="str">
        <f>"AMLA_VR_" &amp; B76 &amp; "_" &amp; C76 &amp; "_" &amp; TEXT(COUNTIFS($B$2:B76, B76, $C$2:C76, C76), "00")</f>
        <v>AMLA_VR_AML.02.01_C0050_02</v>
      </c>
      <c r="B76" s="157" t="s">
        <v>129</v>
      </c>
      <c r="C76" s="157" t="s">
        <v>85</v>
      </c>
      <c r="D76" s="157" t="s">
        <v>1553</v>
      </c>
      <c r="E76" s="160" t="str" cm="1">
        <f t="array" aca="1" ref="E76" ca="1">IF(C76="", INDIRECT("'"&amp;B76&amp;"'!B3"), INDEX(INDIRECT("'"&amp;B76&amp;"'!5:5"), COLUMN(INDIRECT("'"&amp;B76&amp;"'!"&amp;D76))))</f>
        <v>Legal Entities – PEPs, Family Members or Close Associates as BOs</v>
      </c>
      <c r="F76" s="157" t="s">
        <v>1776</v>
      </c>
      <c r="G76" s="157" t="s">
        <v>1773</v>
      </c>
      <c r="H76" s="158" t="s">
        <v>1816</v>
      </c>
      <c r="I76" s="157" t="str">
        <f>IF(TRIM(SUBSTITUTE('AML.02.01'!$F$11&amp;"",CHAR(160),""))="","OK",IF(OR(NOT(ISNUMBER('AML.02.01'!$F$11)),IFERROR(INT('AML.02.01'!$F$11)&lt;&gt;'AML.02.01'!$F$11,TRUE)),$G76&amp;": "&amp;$H76,"OK"))</f>
        <v>OK</v>
      </c>
      <c r="J76" s="157" t="str">
        <f>IF(LEN(IF(VLOOKUP("AMLA_VR_AML.02.01_C0050_01",$A:$I,9,0)&lt;&gt;"OK",CHAR(10)&amp;VLOOKUP("AMLA_VR_AML.02.01_C0050_01",$A:$I,9,0),"")&amp;IF(VLOOKUP("AMLA_VR_AML.02.01_C0050_02",$A:$I,9,0)&lt;&gt;"OK",CHAR(10)&amp;VLOOKUP("AMLA_VR_AML.02.01_C0050_02",$A:$I,9,0),""))=0,"OK",MID(IF(VLOOKUP("AMLA_VR_AML.02.01_C0050_01",$A:$I,9,0)&lt;&gt;"OK",CHAR(10)&amp;VLOOKUP("AMLA_VR_AML.02.01_C0050_01",$A:$I,9,0),"")&amp;IF(VLOOKUP("AMLA_VR_AML.02.01_C0050_02",$A:$I,9,0)&lt;&gt;"OK",CHAR(10)&amp;VLOOKUP("AMLA_VR_AML.02.01_C0050_02",$A:$I,9,0),""),2,3000))</f>
        <v>OK</v>
      </c>
      <c r="K76" s="157" t="s">
        <v>1775</v>
      </c>
    </row>
    <row r="77" spans="1:11">
      <c r="A77" s="159" t="str">
        <f>"AMLA_VR_" &amp; B77 &amp; "_" &amp; C77 &amp; "_" &amp; TEXT(COUNTIFS($B$2:B77, B77, $C$2:C77, C77), "00")</f>
        <v>AMLA_VR_AML.02.01_C0060_01</v>
      </c>
      <c r="B77" s="160" t="s">
        <v>129</v>
      </c>
      <c r="C77" s="160" t="s">
        <v>86</v>
      </c>
      <c r="D77" s="160" t="s">
        <v>1554</v>
      </c>
      <c r="E77" s="160" t="str" cm="1">
        <f t="array" aca="1" ref="E77" ca="1">IF(C77="", INDIRECT("'"&amp;B77&amp;"'!B3"), INDEX(INDIRECT("'"&amp;B77&amp;"'!5:5"), COLUMN(INDIRECT("'"&amp;B77&amp;"'!"&amp;D77))))</f>
        <v>Active Customers</v>
      </c>
      <c r="F77" s="160" t="s">
        <v>1772</v>
      </c>
      <c r="G77" s="160" t="s">
        <v>1773</v>
      </c>
      <c r="H77" s="161" t="s">
        <v>1823</v>
      </c>
      <c r="I77" s="160" t="str">
        <f>IF('AML.02.01'!$G$11&lt;0, $G77 &amp; ": " &amp; $H77, "OK")</f>
        <v>OK</v>
      </c>
      <c r="J77" s="160" t="str">
        <f>IF(LEN(IF(VLOOKUP("AMLA_VR_AML.02.01_C0060_01",$A:$I,9,0)&lt;&gt;"OK",CHAR(10)&amp;VLOOKUP("AMLA_VR_AML.02.01_C0060_01",$A:$I,9,0),"")&amp;IF(VLOOKUP("AMLA_VR_AML.02.01_C0060_02",$A:$I,9,0)&lt;&gt;"OK",CHAR(10)&amp;VLOOKUP("AMLA_VR_AML.02.01_C0060_02",$A:$I,9,0),""))=0,"OK",MID(IF(VLOOKUP("AMLA_VR_AML.02.01_C0060_01",$A:$I,9,0)&lt;&gt;"OK",CHAR(10)&amp;VLOOKUP("AMLA_VR_AML.02.01_C0060_01",$A:$I,9,0),"")&amp;IF(VLOOKUP("AMLA_VR_AML.02.01_C0060_02",$A:$I,9,0)&lt;&gt;"OK",CHAR(10)&amp;VLOOKUP("AMLA_VR_AML.02.01_C0060_02",$A:$I,9,0),""),2,3000))</f>
        <v>OK</v>
      </c>
      <c r="K77" s="160" t="s">
        <v>1775</v>
      </c>
    </row>
    <row r="78" spans="1:11">
      <c r="A78" s="159" t="str">
        <f>"AMLA_VR_" &amp; B78 &amp; "_" &amp; C78 &amp; "_" &amp; TEXT(COUNTIFS($B$2:B78, B78, $C$2:C78, C78), "00")</f>
        <v>AMLA_VR_AML.02.01_C0060_02</v>
      </c>
      <c r="B78" s="160" t="s">
        <v>129</v>
      </c>
      <c r="C78" s="160" t="s">
        <v>86</v>
      </c>
      <c r="D78" s="160" t="s">
        <v>1554</v>
      </c>
      <c r="E78" s="160" t="str" cm="1">
        <f t="array" aca="1" ref="E78" ca="1">IF(C78="", INDIRECT("'"&amp;B78&amp;"'!B3"), INDEX(INDIRECT("'"&amp;B78&amp;"'!5:5"), COLUMN(INDIRECT("'"&amp;B78&amp;"'!"&amp;D78))))</f>
        <v>Active Customers</v>
      </c>
      <c r="F78" s="160" t="s">
        <v>1776</v>
      </c>
      <c r="G78" s="160" t="s">
        <v>1773</v>
      </c>
      <c r="H78" s="161" t="s">
        <v>1816</v>
      </c>
      <c r="I78" s="160" t="str">
        <f>IF(TRIM(SUBSTITUTE('AML.02.01'!$G$11&amp;"",CHAR(160),""))="","OK",IF(OR(NOT(ISNUMBER('AML.02.01'!$G$11)),IFERROR(INT('AML.02.01'!$G$11)&lt;&gt;'AML.02.01'!$G$11,TRUE)),$G78&amp;": "&amp;$H78,"OK"))</f>
        <v>OK</v>
      </c>
      <c r="J78" s="160" t="str">
        <f>IF(LEN(IF(VLOOKUP("AMLA_VR_AML.02.01_C0060_01",$A:$I,9,0)&lt;&gt;"OK",CHAR(10)&amp;VLOOKUP("AMLA_VR_AML.02.01_C0060_01",$A:$I,9,0),"")&amp;IF(VLOOKUP("AMLA_VR_AML.02.01_C0060_02",$A:$I,9,0)&lt;&gt;"OK",CHAR(10)&amp;VLOOKUP("AMLA_VR_AML.02.01_C0060_02",$A:$I,9,0),""))=0,"OK",MID(IF(VLOOKUP("AMLA_VR_AML.02.01_C0060_01",$A:$I,9,0)&lt;&gt;"OK",CHAR(10)&amp;VLOOKUP("AMLA_VR_AML.02.01_C0060_01",$A:$I,9,0),"")&amp;IF(VLOOKUP("AMLA_VR_AML.02.01_C0060_02",$A:$I,9,0)&lt;&gt;"OK",CHAR(10)&amp;VLOOKUP("AMLA_VR_AML.02.01_C0060_02",$A:$I,9,0),""),2,3000))</f>
        <v>OK</v>
      </c>
      <c r="K78" s="160" t="s">
        <v>1775</v>
      </c>
    </row>
    <row r="79" spans="1:11">
      <c r="A79" s="159" t="str">
        <f>"AMLA_VR_" &amp; B79 &amp; "_" &amp; C79 &amp; "_" &amp; TEXT(COUNTIFS($B$2:B79, B79, $C$2:C79, C79), "00")</f>
        <v>AMLA_VR_AML.02.01_C0070_01</v>
      </c>
      <c r="B79" s="157" t="s">
        <v>129</v>
      </c>
      <c r="C79" s="157" t="s">
        <v>87</v>
      </c>
      <c r="D79" s="157" t="s">
        <v>1555</v>
      </c>
      <c r="E79" s="160" t="str" cm="1">
        <f t="array" aca="1" ref="E79" ca="1">IF(C79="", INDIRECT("'"&amp;B79&amp;"'!B3"), INDEX(INDIRECT("'"&amp;B79&amp;"'!5:5"), COLUMN(INDIRECT("'"&amp;B79&amp;"'!"&amp;D79))))</f>
        <v>New Customers</v>
      </c>
      <c r="F79" s="157" t="s">
        <v>1772</v>
      </c>
      <c r="G79" s="157" t="s">
        <v>1773</v>
      </c>
      <c r="H79" s="158" t="s">
        <v>1824</v>
      </c>
      <c r="I79" s="157" t="str">
        <f>IF('AML.02.01'!$H$11&lt;0, $G79 &amp; ": " &amp; $H79, "OK")</f>
        <v>OK</v>
      </c>
      <c r="J79" s="157" t="str">
        <f>IF(LEN(IF(VLOOKUP("AMLA_VR_AML.02.01_C0070_01",$A:$I,9,0)&lt;&gt;"OK",CHAR(10)&amp;VLOOKUP("AMLA_VR_AML.02.01_C0070_01",$A:$I,9,0),"")&amp;IF(VLOOKUP("AMLA_VR_AML.02.01_C0070_02",$A:$I,9,0)&lt;&gt;"OK",CHAR(10)&amp;VLOOKUP("AMLA_VR_AML.02.01_C0070_02",$A:$I,9,0),""))=0,"OK",MID(IF(VLOOKUP("AMLA_VR_AML.02.01_C0070_01",$A:$I,9,0)&lt;&gt;"OK",CHAR(10)&amp;VLOOKUP("AMLA_VR_AML.02.01_C0070_01",$A:$I,9,0),"")&amp;IF(VLOOKUP("AMLA_VR_AML.02.01_C0070_02",$A:$I,9,0)&lt;&gt;"OK",CHAR(10)&amp;VLOOKUP("AMLA_VR_AML.02.01_C0070_02",$A:$I,9,0),""),2,3000))</f>
        <v>OK</v>
      </c>
      <c r="K79" s="157" t="s">
        <v>1775</v>
      </c>
    </row>
    <row r="80" spans="1:11">
      <c r="A80" s="159" t="str">
        <f>"AMLA_VR_" &amp; B80 &amp; "_" &amp; C80 &amp; "_" &amp; TEXT(COUNTIFS($B$2:B80, B80, $C$2:C80, C80), "00")</f>
        <v>AMLA_VR_AML.02.01_C0070_02</v>
      </c>
      <c r="B80" s="157" t="s">
        <v>129</v>
      </c>
      <c r="C80" s="157" t="s">
        <v>87</v>
      </c>
      <c r="D80" s="157" t="s">
        <v>1555</v>
      </c>
      <c r="E80" s="160" t="str" cm="1">
        <f t="array" aca="1" ref="E80" ca="1">IF(C80="", INDIRECT("'"&amp;B80&amp;"'!B3"), INDEX(INDIRECT("'"&amp;B80&amp;"'!5:5"), COLUMN(INDIRECT("'"&amp;B80&amp;"'!"&amp;D80))))</f>
        <v>New Customers</v>
      </c>
      <c r="F80" s="157" t="s">
        <v>1776</v>
      </c>
      <c r="G80" s="157" t="s">
        <v>1773</v>
      </c>
      <c r="H80" s="158" t="s">
        <v>1816</v>
      </c>
      <c r="I80" s="157" t="str">
        <f>IF(TRIM(SUBSTITUTE('AML.02.01'!$H$11&amp;"",CHAR(160),""))="","OK",IF(OR(NOT(ISNUMBER('AML.02.01'!$H$11)),IFERROR(INT('AML.02.01'!$H$11)&lt;&gt;'AML.02.01'!$H$11,TRUE)),$G80&amp;": "&amp;$H80,"OK"))</f>
        <v>OK</v>
      </c>
      <c r="J80" s="157" t="str">
        <f>IF(LEN(IF(VLOOKUP("AMLA_VR_AML.02.01_C0070_01",$A:$I,9,0)&lt;&gt;"OK",CHAR(10)&amp;VLOOKUP("AMLA_VR_AML.02.01_C0070_01",$A:$I,9,0),"")&amp;IF(VLOOKUP("AMLA_VR_AML.02.01_C0070_02",$A:$I,9,0)&lt;&gt;"OK",CHAR(10)&amp;VLOOKUP("AMLA_VR_AML.02.01_C0070_02",$A:$I,9,0),""))=0,"OK",MID(IF(VLOOKUP("AMLA_VR_AML.02.01_C0070_01",$A:$I,9,0)&lt;&gt;"OK",CHAR(10)&amp;VLOOKUP("AMLA_VR_AML.02.01_C0070_01",$A:$I,9,0),"")&amp;IF(VLOOKUP("AMLA_VR_AML.02.01_C0070_02",$A:$I,9,0)&lt;&gt;"OK",CHAR(10)&amp;VLOOKUP("AMLA_VR_AML.02.01_C0070_02",$A:$I,9,0),""),2,3000))</f>
        <v>OK</v>
      </c>
      <c r="K80" s="157" t="s">
        <v>1775</v>
      </c>
    </row>
    <row r="81" spans="1:11">
      <c r="A81" s="159" t="str">
        <f>"AMLA_VR_" &amp; B81 &amp; "_" &amp; C81 &amp; "_" &amp; TEXT(COUNTIFS($B$2:B81, B81, $C$2:C81, C81), "00")</f>
        <v>AMLA_VR_AML.02.01_C0080_01</v>
      </c>
      <c r="B81" s="160" t="s">
        <v>129</v>
      </c>
      <c r="C81" s="160" t="s">
        <v>88</v>
      </c>
      <c r="D81" s="160" t="s">
        <v>1556</v>
      </c>
      <c r="E81" s="160" t="str" cm="1">
        <f t="array" aca="1" ref="E81" ca="1">IF(C81="", INDIRECT("'"&amp;B81&amp;"'!B3"), INDEX(INDIRECT("'"&amp;B81&amp;"'!5:5"), COLUMN(INDIRECT("'"&amp;B81&amp;"'!"&amp;D81))))</f>
        <v>New Customers - Remote Onboarding</v>
      </c>
      <c r="F81" s="160" t="s">
        <v>1772</v>
      </c>
      <c r="G81" s="160" t="s">
        <v>1773</v>
      </c>
      <c r="H81" s="161" t="s">
        <v>1825</v>
      </c>
      <c r="I81" s="160" t="str">
        <f>IF('AML.02.01'!$I$11&lt;0, $G81 &amp; ": " &amp; $H81, "OK")</f>
        <v>OK</v>
      </c>
      <c r="J81" s="160" t="str">
        <f>IF(LEN(IF(VLOOKUP("AMLA_VR_AML.02.01_C0080_01",$A:$I,9,0)&lt;&gt;"OK",CHAR(10)&amp;VLOOKUP("AMLA_VR_AML.02.01_C0080_01",$A:$I,9,0),"")&amp;IF(VLOOKUP("AMLA_VR_AML.02.01_C0080_02",$A:$I,9,0)&lt;&gt;"OK",CHAR(10)&amp;VLOOKUP("AMLA_VR_AML.02.01_C0080_02",$A:$I,9,0),""))=0,"OK",MID(IF(VLOOKUP("AMLA_VR_AML.02.01_C0080_01",$A:$I,9,0)&lt;&gt;"OK",CHAR(10)&amp;VLOOKUP("AMLA_VR_AML.02.01_C0080_01",$A:$I,9,0),"")&amp;IF(VLOOKUP("AMLA_VR_AML.02.01_C0080_02",$A:$I,9,0)&lt;&gt;"OK",CHAR(10)&amp;VLOOKUP("AMLA_VR_AML.02.01_C0080_02",$A:$I,9,0),""),2,3000))</f>
        <v>OK</v>
      </c>
      <c r="K81" s="160" t="s">
        <v>1775</v>
      </c>
    </row>
    <row r="82" spans="1:11">
      <c r="A82" s="159" t="str">
        <f>"AMLA_VR_" &amp; B82 &amp; "_" &amp; C82 &amp; "_" &amp; TEXT(COUNTIFS($B$2:B82, B82, $C$2:C82, C82), "00")</f>
        <v>AMLA_VR_AML.02.01_C0080_02</v>
      </c>
      <c r="B82" s="160" t="s">
        <v>129</v>
      </c>
      <c r="C82" s="160" t="s">
        <v>88</v>
      </c>
      <c r="D82" s="160" t="s">
        <v>1556</v>
      </c>
      <c r="E82" s="160" t="str" cm="1">
        <f t="array" aca="1" ref="E82" ca="1">IF(C82="", INDIRECT("'"&amp;B82&amp;"'!B3"), INDEX(INDIRECT("'"&amp;B82&amp;"'!5:5"), COLUMN(INDIRECT("'"&amp;B82&amp;"'!"&amp;D82))))</f>
        <v>New Customers - Remote Onboarding</v>
      </c>
      <c r="F82" s="160" t="s">
        <v>1776</v>
      </c>
      <c r="G82" s="160" t="s">
        <v>1773</v>
      </c>
      <c r="H82" s="161" t="s">
        <v>1816</v>
      </c>
      <c r="I82" s="160" t="str">
        <f>IF(TRIM(SUBSTITUTE('AML.02.01'!$I$11&amp;"",CHAR(160),""))="","OK",IF(OR(NOT(ISNUMBER('AML.02.01'!$I$11)),IFERROR(INT('AML.02.01'!$I$11)&lt;&gt;'AML.02.01'!$I$11,TRUE)),$G82&amp;": "&amp;$H82,"OK"))</f>
        <v>OK</v>
      </c>
      <c r="J82" s="160" t="str">
        <f>IF(LEN(IF(VLOOKUP("AMLA_VR_AML.02.01_C0080_01",$A:$I,9,0)&lt;&gt;"OK",CHAR(10)&amp;VLOOKUP("AMLA_VR_AML.02.01_C0080_01",$A:$I,9,0),"")&amp;IF(VLOOKUP("AMLA_VR_AML.02.01_C0080_02",$A:$I,9,0)&lt;&gt;"OK",CHAR(10)&amp;VLOOKUP("AMLA_VR_AML.02.01_C0080_02",$A:$I,9,0),""))=0,"OK",MID(IF(VLOOKUP("AMLA_VR_AML.02.01_C0080_01",$A:$I,9,0)&lt;&gt;"OK",CHAR(10)&amp;VLOOKUP("AMLA_VR_AML.02.01_C0080_01",$A:$I,9,0),"")&amp;IF(VLOOKUP("AMLA_VR_AML.02.01_C0080_02",$A:$I,9,0)&lt;&gt;"OK",CHAR(10)&amp;VLOOKUP("AMLA_VR_AML.02.01_C0080_02",$A:$I,9,0),""),2,3000))</f>
        <v>OK</v>
      </c>
      <c r="K82" s="160" t="s">
        <v>1775</v>
      </c>
    </row>
    <row r="83" spans="1:11">
      <c r="A83" s="159" t="str">
        <f>"AMLA_VR_" &amp; B83 &amp; "_" &amp; C83 &amp; "_" &amp; TEXT(COUNTIFS($B$2:B83, B83, $C$2:C83, C83), "00")</f>
        <v>AMLA_VR_AML.02.01_C0090_01</v>
      </c>
      <c r="B83" s="157" t="s">
        <v>129</v>
      </c>
      <c r="C83" s="157" t="s">
        <v>89</v>
      </c>
      <c r="D83" s="157" t="s">
        <v>1557</v>
      </c>
      <c r="E83" s="160" t="str" cm="1">
        <f t="array" aca="1" ref="E83" ca="1">IF(C83="", INDIRECT("'"&amp;B83&amp;"'!B3"), INDEX(INDIRECT("'"&amp;B83&amp;"'!5:5"), COLUMN(INDIRECT("'"&amp;B83&amp;"'!"&amp;D83))))</f>
        <v>New Customers - Third Party Onboarding</v>
      </c>
      <c r="F83" s="157" t="s">
        <v>1772</v>
      </c>
      <c r="G83" s="157" t="s">
        <v>1773</v>
      </c>
      <c r="H83" s="158" t="s">
        <v>1826</v>
      </c>
      <c r="I83" s="157" t="str">
        <f>IF('AML.02.01'!$J$11&lt;0, $G83 &amp; ": " &amp; $H83, "OK")</f>
        <v>OK</v>
      </c>
      <c r="J83" s="157" t="str">
        <f>IF(LEN(IF(VLOOKUP("AMLA_VR_AML.02.01_C0090_01",$A:$I,9,0)&lt;&gt;"OK",CHAR(10)&amp;VLOOKUP("AMLA_VR_AML.02.01_C0090_01",$A:$I,9,0),"")&amp;IF(VLOOKUP("AMLA_VR_AML.02.01_C0090_02",$A:$I,9,0)&lt;&gt;"OK",CHAR(10)&amp;VLOOKUP("AMLA_VR_AML.02.01_C0090_02",$A:$I,9,0),""))=0,"OK",MID(IF(VLOOKUP("AMLA_VR_AML.02.01_C0090_01",$A:$I,9,0)&lt;&gt;"OK",CHAR(10)&amp;VLOOKUP("AMLA_VR_AML.02.01_C0090_01",$A:$I,9,0),"")&amp;IF(VLOOKUP("AMLA_VR_AML.02.01_C0090_02",$A:$I,9,0)&lt;&gt;"OK",CHAR(10)&amp;VLOOKUP("AMLA_VR_AML.02.01_C0090_02",$A:$I,9,0),""),2,3000))</f>
        <v>OK</v>
      </c>
      <c r="K83" s="157" t="s">
        <v>1775</v>
      </c>
    </row>
    <row r="84" spans="1:11">
      <c r="A84" s="159" t="str">
        <f>"AMLA_VR_" &amp; B84 &amp; "_" &amp; C84 &amp; "_" &amp; TEXT(COUNTIFS($B$2:B84, B84, $C$2:C84, C84), "00")</f>
        <v>AMLA_VR_AML.02.01_C0090_02</v>
      </c>
      <c r="B84" s="157" t="s">
        <v>129</v>
      </c>
      <c r="C84" s="157" t="s">
        <v>89</v>
      </c>
      <c r="D84" s="157" t="s">
        <v>1557</v>
      </c>
      <c r="E84" s="160" t="str" cm="1">
        <f t="array" aca="1" ref="E84" ca="1">IF(C84="", INDIRECT("'"&amp;B84&amp;"'!B3"), INDEX(INDIRECT("'"&amp;B84&amp;"'!5:5"), COLUMN(INDIRECT("'"&amp;B84&amp;"'!"&amp;D84))))</f>
        <v>New Customers - Third Party Onboarding</v>
      </c>
      <c r="F84" s="157" t="s">
        <v>1776</v>
      </c>
      <c r="G84" s="157" t="s">
        <v>1773</v>
      </c>
      <c r="H84" s="158" t="s">
        <v>1816</v>
      </c>
      <c r="I84" s="157" t="str">
        <f>IF(TRIM(SUBSTITUTE('AML.02.01'!$J$11&amp;"",CHAR(160),""))="","OK",IF(OR(NOT(ISNUMBER('AML.02.01'!$J$11)),IFERROR(INT('AML.02.01'!$J$11)&lt;&gt;'AML.02.01'!$J11,TRUE)),$G84&amp;": "&amp;$H84,"OK"))</f>
        <v>OK</v>
      </c>
      <c r="J84" s="157" t="str">
        <f>IF(LEN(IF(VLOOKUP("AMLA_VR_AML.02.01_C0090_01",$A:$I,9,0)&lt;&gt;"OK",CHAR(10)&amp;VLOOKUP("AMLA_VR_AML.02.01_C0090_01",$A:$I,9,0),"")&amp;IF(VLOOKUP("AMLA_VR_AML.02.01_C0090_02",$A:$I,9,0)&lt;&gt;"OK",CHAR(10)&amp;VLOOKUP("AMLA_VR_AML.02.01_C0090_02",$A:$I,9,0),""))=0,"OK",MID(IF(VLOOKUP("AMLA_VR_AML.02.01_C0090_01",$A:$I,9,0)&lt;&gt;"OK",CHAR(10)&amp;VLOOKUP("AMLA_VR_AML.02.01_C0090_01",$A:$I,9,0),"")&amp;IF(VLOOKUP("AMLA_VR_AML.02.01_C0090_02",$A:$I,9,0)&lt;&gt;"OK",CHAR(10)&amp;VLOOKUP("AMLA_VR_AML.02.01_C0090_02",$A:$I,9,0),""),2,3000))</f>
        <v>OK</v>
      </c>
      <c r="K84" s="157" t="s">
        <v>1775</v>
      </c>
    </row>
    <row r="85" spans="1:11">
      <c r="A85" s="159" t="str">
        <f>"AMLA_VR_" &amp; B85 &amp; "_" &amp; C85 &amp; "_" &amp; TEXT(COUNTIFS($B$2:B85, B85, $C$2:C85, C85), "00")</f>
        <v>AMLA_VR_AML.02.01_C0100_01</v>
      </c>
      <c r="B85" s="160" t="s">
        <v>129</v>
      </c>
      <c r="C85" s="160" t="s">
        <v>90</v>
      </c>
      <c r="D85" s="160" t="s">
        <v>1558</v>
      </c>
      <c r="E85" s="160" t="str" cm="1">
        <f t="array" aca="1" ref="E85" ca="1">IF(C85="", INDIRECT("'"&amp;B85&amp;"'!B3"), INDEX(INDIRECT("'"&amp;B85&amp;"'!5:5"), COLUMN(INDIRECT("'"&amp;B85&amp;"'!"&amp;D85))))</f>
        <v>New Customers - Third Party Onboarding (Non-supervised)</v>
      </c>
      <c r="F85" s="160" t="s">
        <v>1772</v>
      </c>
      <c r="G85" s="160" t="s">
        <v>1773</v>
      </c>
      <c r="H85" s="161" t="s">
        <v>1827</v>
      </c>
      <c r="I85" s="160" t="str">
        <f>IF('AML.02.01'!$K$11&lt;0, $G85 &amp; ": " &amp; $H85, "OK")</f>
        <v>OK</v>
      </c>
      <c r="J85" s="160" t="str">
        <f>IF(LEN(IF(VLOOKUP("AMLA_VR_AML.02.01_C0100_01",$A:$I,9,0)&lt;&gt;"OK",CHAR(10)&amp;VLOOKUP("AMLA_VR_AML.02.01_C0100_01",$A:$I,9,0),"")&amp;IF(VLOOKUP("AMLA_VR_AML.02.01_C0100_02",$A:$I,9,0)&lt;&gt;"OK",CHAR(10)&amp;VLOOKUP("AMLA_VR_AML.02.01_C0100_02",$A:$I,9,0),""))=0,"OK",MID(IF(VLOOKUP("AMLA_VR_AML.02.01_C0100_01",$A:$I,9,0)&lt;&gt;"OK",CHAR(10)&amp;VLOOKUP("AMLA_VR_AML.02.01_C0100_01",$A:$I,9,0),"")&amp;IF(VLOOKUP("AMLA_VR_AML.02.01_C0100_02",$A:$I,9,0)&lt;&gt;"OK",CHAR(10)&amp;VLOOKUP("AMLA_VR_AML.02.01_C0100_02",$A:$I,9,0),""),2,3000))</f>
        <v>OK</v>
      </c>
      <c r="K85" s="160" t="s">
        <v>1775</v>
      </c>
    </row>
    <row r="86" spans="1:11">
      <c r="A86" s="159" t="str">
        <f>"AMLA_VR_" &amp; B86 &amp; "_" &amp; C86 &amp; "_" &amp; TEXT(COUNTIFS($B$2:B86, B86, $C$2:C86, C86), "00")</f>
        <v>AMLA_VR_AML.02.01_C0100_02</v>
      </c>
      <c r="B86" s="160" t="s">
        <v>129</v>
      </c>
      <c r="C86" s="160" t="s">
        <v>90</v>
      </c>
      <c r="D86" s="160" t="s">
        <v>1558</v>
      </c>
      <c r="E86" s="160" t="str" cm="1">
        <f t="array" aca="1" ref="E86" ca="1">IF(C86="", INDIRECT("'"&amp;B86&amp;"'!B3"), INDEX(INDIRECT("'"&amp;B86&amp;"'!5:5"), COLUMN(INDIRECT("'"&amp;B86&amp;"'!"&amp;D86))))</f>
        <v>New Customers - Third Party Onboarding (Non-supervised)</v>
      </c>
      <c r="F86" s="160" t="s">
        <v>1776</v>
      </c>
      <c r="G86" s="160" t="s">
        <v>1773</v>
      </c>
      <c r="H86" s="161" t="s">
        <v>1816</v>
      </c>
      <c r="I86" s="160" t="str">
        <f>IF(TRIM(SUBSTITUTE('AML.02.01'!$K$11&amp;"",CHAR(160),""))="","OK",IF(OR(NOT(ISNUMBER('AML.02.01'!$K$11)),IFERROR(INT('AML.02.01'!$K$11)&lt;&gt;'AML.02.01'!$K$11,TRUE)),$G86&amp;": "&amp;$H86,"OK"))</f>
        <v>OK</v>
      </c>
      <c r="J86" s="160" t="str">
        <f>IF(LEN(IF(VLOOKUP("AMLA_VR_AML.02.01_C0100_01",$A:$I,9,0)&lt;&gt;"OK",CHAR(10)&amp;VLOOKUP("AMLA_VR_AML.02.01_C0100_01",$A:$I,9,0),"")&amp;IF(VLOOKUP("AMLA_VR_AML.02.01_C0100_02",$A:$I,9,0)&lt;&gt;"OK",CHAR(10)&amp;VLOOKUP("AMLA_VR_AML.02.01_C0100_02",$A:$I,9,0),""))=0,"OK",MID(IF(VLOOKUP("AMLA_VR_AML.02.01_C0100_01",$A:$I,9,0)&lt;&gt;"OK",CHAR(10)&amp;VLOOKUP("AMLA_VR_AML.02.01_C0100_01",$A:$I,9,0),"")&amp;IF(VLOOKUP("AMLA_VR_AML.02.01_C0100_02",$A:$I,9,0)&lt;&gt;"OK",CHAR(10)&amp;VLOOKUP("AMLA_VR_AML.02.01_C0100_02",$A:$I,9,0),""),2,3000))</f>
        <v>OK</v>
      </c>
      <c r="K86" s="160" t="s">
        <v>1775</v>
      </c>
    </row>
    <row r="87" spans="1:11">
      <c r="A87" s="159" t="str">
        <f>"AMLA_VR_" &amp; B87 &amp; "_" &amp; C87 &amp; "_" &amp; TEXT(COUNTIFS($B$2:B87, B87, $C$2:C87, C87), "00")</f>
        <v>AMLA_VR_AML.02.01_C0110_01</v>
      </c>
      <c r="B87" s="157" t="s">
        <v>129</v>
      </c>
      <c r="C87" s="157" t="s">
        <v>91</v>
      </c>
      <c r="D87" s="157" t="s">
        <v>1559</v>
      </c>
      <c r="E87" s="160" t="str" cm="1">
        <f t="array" aca="1" ref="E87" ca="1">IF(C87="", INDIRECT("'"&amp;B87&amp;"'!B3"), INDEX(INDIRECT("'"&amp;B87&amp;"'!5:5"), COLUMN(INDIRECT("'"&amp;B87&amp;"'!"&amp;D87))))</f>
        <v>Legal Entities - Complex Structure</v>
      </c>
      <c r="F87" s="157" t="s">
        <v>1772</v>
      </c>
      <c r="G87" s="157" t="s">
        <v>1773</v>
      </c>
      <c r="H87" s="158" t="s">
        <v>1828</v>
      </c>
      <c r="I87" s="160" t="str">
        <f>IF('AML.02.01'!$L$11&lt;0, $G87 &amp; ": " &amp; $H87, "OK")</f>
        <v>OK</v>
      </c>
      <c r="J87" s="157" t="str">
        <f>IF(LEN(IF(VLOOKUP("AMLA_VR_AML.02.01_C0110_01",$A:$I,9,0)&lt;&gt;"OK",CHAR(10)&amp;VLOOKUP("AMLA_VR_AML.02.01_C0110_01",$A:$I,9,0),"")&amp;IF(VLOOKUP("AMLA_VR_AML.02.01_C0110_02",$A:$I,9,0)&lt;&gt;"OK",CHAR(10)&amp;VLOOKUP("AMLA_VR_AML.02.01_C0110_02",$A:$I,9,0),""))=0,"OK",MID(IF(VLOOKUP("AMLA_VR_AML.02.01_C0110_01",$A:$I,9,0)&lt;&gt;"OK",CHAR(10)&amp;VLOOKUP("AMLA_VR_AML.02.01_C0110_01",$A:$I,9,0),"")&amp;IF(VLOOKUP("AMLA_VR_AML.02.01_C0110_02",$A:$I,9,0)&lt;&gt;"OK",CHAR(10)&amp;VLOOKUP("AMLA_VR_AML.02.01_C0110_02",$A:$I,9,0),""),2,3000))</f>
        <v>OK</v>
      </c>
      <c r="K87" s="157" t="s">
        <v>1775</v>
      </c>
    </row>
    <row r="88" spans="1:11">
      <c r="A88" s="159" t="str">
        <f>"AMLA_VR_" &amp; B88 &amp; "_" &amp; C88 &amp; "_" &amp; TEXT(COUNTIFS($B$2:B88, B88, $C$2:C88, C88), "00")</f>
        <v>AMLA_VR_AML.02.01_C0110_02</v>
      </c>
      <c r="B88" s="157" t="s">
        <v>129</v>
      </c>
      <c r="C88" s="157" t="s">
        <v>91</v>
      </c>
      <c r="D88" s="157" t="s">
        <v>1559</v>
      </c>
      <c r="E88" s="160" t="str" cm="1">
        <f t="array" aca="1" ref="E88" ca="1">IF(C88="", INDIRECT("'"&amp;B88&amp;"'!B3"), INDEX(INDIRECT("'"&amp;B88&amp;"'!5:5"), COLUMN(INDIRECT("'"&amp;B88&amp;"'!"&amp;D88))))</f>
        <v>Legal Entities - Complex Structure</v>
      </c>
      <c r="F88" s="157" t="s">
        <v>1776</v>
      </c>
      <c r="G88" s="157" t="s">
        <v>1773</v>
      </c>
      <c r="H88" s="158" t="s">
        <v>1816</v>
      </c>
      <c r="I88" s="160" t="str">
        <f>IF(TRIM(SUBSTITUTE('AML.02.01'!$L$11&amp;"",CHAR(160),""))="","OK",IF(OR(NOT(ISNUMBER('AML.02.01'!$L$11)),IFERROR(INT('AML.02.01'!$L$11)&lt;&gt;'AML.02.01'!$L$11,TRUE)),$G88&amp;": "&amp;$H88,"OK"))</f>
        <v>OK</v>
      </c>
      <c r="J88" s="157" t="str">
        <f>IF(LEN(IF(VLOOKUP("AMLA_VR_AML.02.01_C0110_01",$A:$I,9,0)&lt;&gt;"OK",CHAR(10)&amp;VLOOKUP("AMLA_VR_AML.02.01_C0110_01",$A:$I,9,0),"")&amp;IF(VLOOKUP("AMLA_VR_AML.02.01_C0110_02",$A:$I,9,0)&lt;&gt;"OK",CHAR(10)&amp;VLOOKUP("AMLA_VR_AML.02.01_C0110_02",$A:$I,9,0),""))=0,"OK",MID(IF(VLOOKUP("AMLA_VR_AML.02.01_C0110_01",$A:$I,9,0)&lt;&gt;"OK",CHAR(10)&amp;VLOOKUP("AMLA_VR_AML.02.01_C0110_01",$A:$I,9,0),"")&amp;IF(VLOOKUP("AMLA_VR_AML.02.01_C0110_02",$A:$I,9,0)&lt;&gt;"OK",CHAR(10)&amp;VLOOKUP("AMLA_VR_AML.02.01_C0110_02",$A:$I,9,0),""),2,3000))</f>
        <v>OK</v>
      </c>
      <c r="K88" s="157" t="s">
        <v>1775</v>
      </c>
    </row>
    <row r="89" spans="1:11">
      <c r="A89" s="159" t="str">
        <f>"AMLA_VR_" &amp; B89 &amp; "_" &amp; C89 &amp; "_" &amp; TEXT(COUNTIFS($B$2:B89, B89, $C$2:C89, C89), "00")</f>
        <v>AMLA_VR_AML.02.01_C0120_01</v>
      </c>
      <c r="B89" s="160" t="s">
        <v>129</v>
      </c>
      <c r="C89" s="160" t="s">
        <v>92</v>
      </c>
      <c r="D89" s="160" t="s">
        <v>1560</v>
      </c>
      <c r="E89" s="160" t="str" cm="1">
        <f t="array" aca="1" ref="E89" ca="1">IF(C89="", INDIRECT("'"&amp;B89&amp;"'!B3"), INDEX(INDIRECT("'"&amp;B89&amp;"'!5:5"), COLUMN(INDIRECT("'"&amp;B89&amp;"'!"&amp;D89))))</f>
        <v>Customers with high-risk activities</v>
      </c>
      <c r="F89" s="160" t="s">
        <v>1772</v>
      </c>
      <c r="G89" s="160" t="s">
        <v>1773</v>
      </c>
      <c r="H89" s="161" t="s">
        <v>1829</v>
      </c>
      <c r="I89" s="157" t="str">
        <f>IF('AML.02.01'!$M$11&lt;0, $G89 &amp; ": " &amp; $H89, "OK")</f>
        <v>OK</v>
      </c>
      <c r="J89" s="160" t="str">
        <f>IF(LEN(IF(VLOOKUP("AMLA_VR_AML.02.01_C0120_01",$A:$I,9,0)&lt;&gt;"OK",CHAR(10)&amp;VLOOKUP("AMLA_VR_AML.02.01_C0120_01",$A:$I,9,0),"")&amp;IF(VLOOKUP("AMLA_VR_AML.02.01_C0120_02",$A:$I,9,0)&lt;&gt;"OK",CHAR(10)&amp;VLOOKUP("AMLA_VR_AML.02.01_C0120_02",$A:$I,9,0),"")&amp;IF(VLOOKUP("AMLA_VR_AML.02.01_C0120_03",$A:$I,9,0)&lt;&gt;"OK",CHAR(10)&amp;VLOOKUP("AMLA_VR_AML.02.01_C0120_03",$A:$I,9,0),""))=0,"OK",MID(IF(VLOOKUP("AMLA_VR_AML.02.01_C0120_01",$A:$I,9,0)&lt;&gt;"OK",CHAR(10)&amp;VLOOKUP("AMLA_VR_AML.02.01_C0120_01",$A:$I,9,0),"")&amp;IF(VLOOKUP("AMLA_VR_AML.02.01_C0120_02",$A:$I,9,0)&lt;&gt;"OK",CHAR(10)&amp;VLOOKUP("AMLA_VR_AML.02.01_C0120_02",$A:$I,9,0),"")&amp;IF(VLOOKUP("AMLA_VR_AML.02.01_C0120_03",$A:$I,9,0)&lt;&gt;"OK",CHAR(10)&amp;VLOOKUP("AMLA_VR_AML.02.01_C0120_03",$A:$I,9,0),""),2,3000))</f>
        <v>OK</v>
      </c>
      <c r="K89" s="160" t="s">
        <v>1775</v>
      </c>
    </row>
    <row r="90" spans="1:11">
      <c r="A90" s="159" t="str">
        <f>"AMLA_VR_" &amp; B90 &amp; "_" &amp; C90 &amp; "_" &amp; TEXT(COUNTIFS($B$2:B90, B90, $C$2:C90, C90), "00")</f>
        <v>AMLA_VR_AML.02.01_C0120_02</v>
      </c>
      <c r="B90" s="160" t="s">
        <v>129</v>
      </c>
      <c r="C90" s="160" t="s">
        <v>92</v>
      </c>
      <c r="D90" s="160" t="s">
        <v>1560</v>
      </c>
      <c r="E90" s="160" t="str" cm="1">
        <f t="array" aca="1" ref="E90" ca="1">IF(C90="", INDIRECT("'"&amp;B90&amp;"'!B3"), INDEX(INDIRECT("'"&amp;B90&amp;"'!5:5"), COLUMN(INDIRECT("'"&amp;B90&amp;"'!"&amp;D90))))</f>
        <v>Customers with high-risk activities</v>
      </c>
      <c r="F90" s="160" t="s">
        <v>1776</v>
      </c>
      <c r="G90" s="160" t="s">
        <v>1773</v>
      </c>
      <c r="H90" s="161" t="s">
        <v>1816</v>
      </c>
      <c r="I90" s="157" t="str">
        <f>IF(TRIM(SUBSTITUTE('AML.02.01'!$M$11&amp;"",CHAR(160),""))="","OK",IF(OR(NOT(ISNUMBER('AML.02.01'!$M$11)),IFERROR(INT('AML.02.01'!$M$11)&lt;&gt;'AML.02.01'!$M$11,TRUE)),$G90&amp;": "&amp;$H90,"OK"))</f>
        <v>OK</v>
      </c>
      <c r="J90" s="160" t="str">
        <f>IF(LEN(IF(VLOOKUP("AMLA_VR_AML.02.01_C0120_01",$A:$I,9,0)&lt;&gt;"OK",CHAR(10)&amp;VLOOKUP("AMLA_VR_AML.02.01_C0120_01",$A:$I,9,0),"")&amp;IF(VLOOKUP("AMLA_VR_AML.02.01_C0120_02",$A:$I,9,0)&lt;&gt;"OK",CHAR(10)&amp;VLOOKUP("AMLA_VR_AML.02.01_C0120_02",$A:$I,9,0),"")&amp;IF(VLOOKUP("AMLA_VR_AML.02.01_C0120_03",$A:$I,9,0)&lt;&gt;"OK",CHAR(10)&amp;VLOOKUP("AMLA_VR_AML.02.01_C0120_03",$A:$I,9,0),""))=0,"OK",MID(IF(VLOOKUP("AMLA_VR_AML.02.01_C0120_01",$A:$I,9,0)&lt;&gt;"OK",CHAR(10)&amp;VLOOKUP("AMLA_VR_AML.02.01_C0120_01",$A:$I,9,0),"")&amp;IF(VLOOKUP("AMLA_VR_AML.02.01_C0120_02",$A:$I,9,0)&lt;&gt;"OK",CHAR(10)&amp;VLOOKUP("AMLA_VR_AML.02.01_C0120_02",$A:$I,9,0),"")&amp;IF(VLOOKUP("AMLA_VR_AML.02.01_C0120_03",$A:$I,9,0)&lt;&gt;"OK",CHAR(10)&amp;VLOOKUP("AMLA_VR_AML.02.01_C0120_03",$A:$I,9,0),""),2,3000))</f>
        <v>OK</v>
      </c>
      <c r="K90" s="160" t="s">
        <v>1775</v>
      </c>
    </row>
    <row r="91" spans="1:11" s="169" customFormat="1">
      <c r="A91" s="164" t="str">
        <f>"AMLA_VR_" &amp; B91 &amp; "_" &amp; C91 &amp; "_" &amp; TEXT(COUNTIFS($B$2:B91, B91, $C$2:C91, C91), "00")</f>
        <v>AMLA_VR_AML.02.01_C0120_03</v>
      </c>
      <c r="B91" s="165" t="s">
        <v>129</v>
      </c>
      <c r="C91" s="165" t="s">
        <v>92</v>
      </c>
      <c r="D91" s="165" t="s">
        <v>1560</v>
      </c>
      <c r="E91" s="166" t="str" cm="1">
        <f t="array" aca="1" ref="E91" ca="1">IF(C91="", INDIRECT("'"&amp;B91&amp;"'!B3"), INDEX(INDIRECT("'"&amp;B91&amp;"'!5:5"), COLUMN(INDIRECT("'"&amp;B91&amp;"'!"&amp;D91))))</f>
        <v>Customers with high-risk activities</v>
      </c>
      <c r="F91" s="165" t="s">
        <v>1772</v>
      </c>
      <c r="G91" s="165" t="s">
        <v>1813</v>
      </c>
      <c r="H91" s="167" t="s">
        <v>1830</v>
      </c>
      <c r="I91" s="168" t="s">
        <v>1809</v>
      </c>
      <c r="J91" s="165" t="str">
        <f>IF(LEN(IF(VLOOKUP("AMLA_VR_AML.02.01_C0120_01",$A:$I,9,0)&lt;&gt;"OK",CHAR(10)&amp;VLOOKUP("AMLA_VR_AML.02.01_C0120_01",$A:$I,9,0),"")&amp;IF(VLOOKUP("AMLA_VR_AML.02.01_C0120_02",$A:$I,9,0)&lt;&gt;"OK",CHAR(10)&amp;VLOOKUP("AMLA_VR_AML.02.01_C0120_02",$A:$I,9,0),"")&amp;IF(VLOOKUP("AMLA_VR_AML.02.01_C0120_03",$A:$I,9,0)&lt;&gt;"OK",CHAR(10)&amp;VLOOKUP("AMLA_VR_AML.02.01_C0120_03",$A:$I,9,0),""))=0,"OK",MID(IF(VLOOKUP("AMLA_VR_AML.02.01_C0120_01",$A:$I,9,0)&lt;&gt;"OK",CHAR(10)&amp;VLOOKUP("AMLA_VR_AML.02.01_C0120_01",$A:$I,9,0),"")&amp;IF(VLOOKUP("AMLA_VR_AML.02.01_C0120_02",$A:$I,9,0)&lt;&gt;"OK",CHAR(10)&amp;VLOOKUP("AMLA_VR_AML.02.01_C0120_02",$A:$I,9,0),"")&amp;IF(VLOOKUP("AMLA_VR_AML.02.01_C0120_03",$A:$I,9,0)&lt;&gt;"OK",CHAR(10)&amp;VLOOKUP("AMLA_VR_AML.02.01_C0120_03",$A:$I,9,0),""),2,3000))</f>
        <v>OK</v>
      </c>
      <c r="K91" s="165" t="s">
        <v>1775</v>
      </c>
    </row>
    <row r="92" spans="1:11">
      <c r="A92" s="159" t="str">
        <f>"AMLA_VR_" &amp; B92 &amp; "_" &amp; C92 &amp; "_" &amp; TEXT(COUNTIFS($B$2:B92, B92, $C$2:C92, C92), "00")</f>
        <v>AMLA_VR_AML.02.01_C0130_01</v>
      </c>
      <c r="B92" s="160" t="s">
        <v>129</v>
      </c>
      <c r="C92" s="160" t="s">
        <v>93</v>
      </c>
      <c r="D92" s="160" t="s">
        <v>1561</v>
      </c>
      <c r="E92" s="160" t="str" cm="1">
        <f t="array" aca="1" ref="E92" ca="1">IF(C92="", INDIRECT("'"&amp;B92&amp;"'!B3"), INDEX(INDIRECT("'"&amp;B92&amp;"'!5:5"), COLUMN(INDIRECT("'"&amp;B92&amp;"'!"&amp;D92))))</f>
        <v>Legal entities with at least 1 Beneficial Owner resident in non-EEA countries</v>
      </c>
      <c r="F92" s="160" t="s">
        <v>1772</v>
      </c>
      <c r="G92" s="160" t="s">
        <v>1773</v>
      </c>
      <c r="H92" s="161" t="s">
        <v>1831</v>
      </c>
      <c r="I92" s="160" t="str">
        <f>IF('AML.02.01'!$N$11&lt;0, $G92 &amp; ": " &amp; $H92, "OK")</f>
        <v>OK</v>
      </c>
      <c r="J92" s="160" t="str">
        <f>IF(LEN(IF(VLOOKUP("AMLA_VR_AML.02.01_C0130_01",$A:$I,9,0)&lt;&gt;"OK",CHAR(10)&amp;VLOOKUP("AMLA_VR_AML.02.01_C0130_01",$A:$I,9,0),"")&amp;IF(VLOOKUP("AMLA_VR_AML.02.01_C0130_02",$A:$I,9,0)&lt;&gt;"OK",CHAR(10)&amp;VLOOKUP("AMLA_VR_AML.02.01_C0130_02",$A:$I,9,0),"")&amp;IF(VLOOKUP("AMLA_VR_AML.02.01_C0130_03",$A:$I,9,0)&lt;&gt;"OK",CHAR(10)&amp;VLOOKUP("AMLA_VR_AML.02.01_C0130_03",$A:$I,9,0),""))=0,"OK",MID(IF(VLOOKUP("AMLA_VR_AML.02.01_C0130_01",$A:$I,9,0)&lt;&gt;"OK",CHAR(10)&amp;VLOOKUP("AMLA_VR_AML.02.01_C0130_01",$A:$I,9,0),"")&amp;IF(VLOOKUP("AMLA_VR_AML.02.01_C0130_02",$A:$I,9,0)&lt;&gt;"OK",CHAR(10)&amp;VLOOKUP("AMLA_VR_AML.02.01_C0130_02",$A:$I,9,0),"")&amp;IF(VLOOKUP("AMLA_VR_AML.02.01_C0130_03",$A:$I,9,0)&lt;&gt;"OK",CHAR(10)&amp;VLOOKUP("AMLA_VR_AML.02.01_C0130_03",$A:$I,9,0),""),2,3000))</f>
        <v>OK</v>
      </c>
      <c r="K92" s="160" t="s">
        <v>1775</v>
      </c>
    </row>
    <row r="93" spans="1:11">
      <c r="A93" s="159" t="str">
        <f>"AMLA_VR_" &amp; B93 &amp; "_" &amp; C93 &amp; "_" &amp; TEXT(COUNTIFS($B$2:B93, B93, $C$2:C93, C93), "00")</f>
        <v>AMLA_VR_AML.02.01_C0130_02</v>
      </c>
      <c r="B93" s="157" t="s">
        <v>129</v>
      </c>
      <c r="C93" s="157" t="s">
        <v>93</v>
      </c>
      <c r="D93" s="157" t="s">
        <v>1561</v>
      </c>
      <c r="E93" s="160" t="str" cm="1">
        <f t="array" aca="1" ref="E93" ca="1">IF(C93="", INDIRECT("'"&amp;B93&amp;"'!B3"), INDEX(INDIRECT("'"&amp;B93&amp;"'!5:5"), COLUMN(INDIRECT("'"&amp;B93&amp;"'!"&amp;D93))))</f>
        <v>Legal entities with at least 1 Beneficial Owner resident in non-EEA countries</v>
      </c>
      <c r="F93" s="157" t="s">
        <v>1776</v>
      </c>
      <c r="G93" s="157" t="s">
        <v>1773</v>
      </c>
      <c r="H93" s="158" t="s">
        <v>1816</v>
      </c>
      <c r="I93" s="157" t="str">
        <f>IF(TRIM(SUBSTITUTE('AML.02.01'!$N$11&amp;"",CHAR(160),""))="","OK",IF(OR(NOT(ISNUMBER('AML.02.01'!$N$11)),IFERROR(INT('AML.02.01'!$N$11)&lt;&gt;'AML.02.01'!$N$11,TRUE)),$G32&amp;": "&amp;$H93,"OK"))</f>
        <v>OK</v>
      </c>
      <c r="J93" s="157" t="str">
        <f>IF(LEN(IF(VLOOKUP("AMLA_VR_AML.02.01_C0130_01",$A:$I,9,0)&lt;&gt;"OK",CHAR(10)&amp;VLOOKUP("AMLA_VR_AML.02.01_C0130_01",$A:$I,9,0),"")&amp;IF(VLOOKUP("AMLA_VR_AML.02.01_C0130_02",$A:$I,9,0)&lt;&gt;"OK",CHAR(10)&amp;VLOOKUP("AMLA_VR_AML.02.01_C0130_02",$A:$I,9,0),"")&amp;IF(VLOOKUP("AMLA_VR_AML.02.01_C0130_03",$A:$I,9,0)&lt;&gt;"OK",CHAR(10)&amp;VLOOKUP("AMLA_VR_AML.02.01_C0130_03",$A:$I,9,0),""))=0,"OK",MID(IF(VLOOKUP("AMLA_VR_AML.02.01_C0130_01",$A:$I,9,0)&lt;&gt;"OK",CHAR(10)&amp;VLOOKUP("AMLA_VR_AML.02.01_C0130_01",$A:$I,9,0),"")&amp;IF(VLOOKUP("AMLA_VR_AML.02.01_C0130_02",$A:$I,9,0)&lt;&gt;"OK",CHAR(10)&amp;VLOOKUP("AMLA_VR_AML.02.01_C0130_02",$A:$I,9,0),"")&amp;IF(VLOOKUP("AMLA_VR_AML.02.01_C0130_03",$A:$I,9,0)&lt;&gt;"OK",CHAR(10)&amp;VLOOKUP("AMLA_VR_AML.02.01_C0130_03",$A:$I,9,0),""),2,3000))</f>
        <v>OK</v>
      </c>
      <c r="K93" s="157" t="s">
        <v>1775</v>
      </c>
    </row>
    <row r="94" spans="1:11" s="169" customFormat="1">
      <c r="A94" s="164" t="str">
        <f>"AMLA_VR_" &amp; B94 &amp; "_" &amp; C94 &amp; "_" &amp; TEXT(COUNTIFS($B$2:B94, B94, $C$2:C94, C94), "00")</f>
        <v>AMLA_VR_AML.02.01_C0130_03</v>
      </c>
      <c r="B94" s="165" t="s">
        <v>129</v>
      </c>
      <c r="C94" s="165" t="s">
        <v>93</v>
      </c>
      <c r="D94" s="165" t="s">
        <v>1561</v>
      </c>
      <c r="E94" s="166" t="str" cm="1">
        <f t="array" aca="1" ref="E94" ca="1">IF(C94="", INDIRECT("'"&amp;B94&amp;"'!B3"), INDEX(INDIRECT("'"&amp;B94&amp;"'!5:5"), COLUMN(INDIRECT("'"&amp;B94&amp;"'!"&amp;D94))))</f>
        <v>Legal entities with at least 1 Beneficial Owner resident in non-EEA countries</v>
      </c>
      <c r="F94" s="165" t="s">
        <v>1772</v>
      </c>
      <c r="G94" s="165" t="s">
        <v>1813</v>
      </c>
      <c r="H94" s="167" t="s">
        <v>1832</v>
      </c>
      <c r="I94" s="170" t="s">
        <v>1809</v>
      </c>
      <c r="J94" s="165" t="str">
        <f>IF(LEN(IF(VLOOKUP("AMLA_VR_AML.02.01_C0130_01",$A:$I,9,0)&lt;&gt;"OK",CHAR(10)&amp;VLOOKUP("AMLA_VR_AML.02.01_C0130_01",$A:$I,9,0),"")&amp;IF(VLOOKUP("AMLA_VR_AML.02.01_C0130_02",$A:$I,9,0)&lt;&gt;"OK",CHAR(10)&amp;VLOOKUP("AMLA_VR_AML.02.01_C0130_02",$A:$I,9,0),"")&amp;IF(VLOOKUP("AMLA_VR_AML.02.01_C0130_03",$A:$I,9,0)&lt;&gt;"OK",CHAR(10)&amp;VLOOKUP("AMLA_VR_AML.02.01_C0130_03",$A:$I,9,0),""))=0,"OK",MID(IF(VLOOKUP("AMLA_VR_AML.02.01_C0130_01",$A:$I,9,0)&lt;&gt;"OK",CHAR(10)&amp;VLOOKUP("AMLA_VR_AML.02.01_C0130_01",$A:$I,9,0),"")&amp;IF(VLOOKUP("AMLA_VR_AML.02.01_C0130_02",$A:$I,9,0)&lt;&gt;"OK",CHAR(10)&amp;VLOOKUP("AMLA_VR_AML.02.01_C0130_02",$A:$I,9,0),"")&amp;IF(VLOOKUP("AMLA_VR_AML.02.01_C0130_03",$A:$I,9,0)&lt;&gt;"OK",CHAR(10)&amp;VLOOKUP("AMLA_VR_AML.02.01_C0130_03",$A:$I,9,0),""),2,3000))</f>
        <v>OK</v>
      </c>
      <c r="K94" s="165" t="s">
        <v>1775</v>
      </c>
    </row>
    <row r="95" spans="1:11">
      <c r="A95" s="159" t="str">
        <f>"AMLA_VR_" &amp; B95 &amp; "_" &amp; C95 &amp; "_" &amp; TEXT(COUNTIFS($B$2:B95, B95, $C$2:C95, C95), "00")</f>
        <v>AMLA_VR_AML.02.01_C0140_01</v>
      </c>
      <c r="B95" s="160" t="s">
        <v>129</v>
      </c>
      <c r="C95" s="160" t="s">
        <v>94</v>
      </c>
      <c r="D95" s="160" t="s">
        <v>1562</v>
      </c>
      <c r="E95" s="160" t="str" cm="1">
        <f t="array" aca="1" ref="E95" ca="1">IF(C95="", INDIRECT("'"&amp;B95&amp;"'!B3"), INDEX(INDIRECT("'"&amp;B95&amp;"'!5:5"), COLUMN(INDIRECT("'"&amp;B95&amp;"'!"&amp;D95))))</f>
        <v>Customers with cross border Transactions - Non-EEA</v>
      </c>
      <c r="F95" s="160" t="s">
        <v>1772</v>
      </c>
      <c r="G95" s="160" t="s">
        <v>1773</v>
      </c>
      <c r="H95" s="161" t="s">
        <v>1833</v>
      </c>
      <c r="I95" s="160" t="str">
        <f>IF('AML.02.01'!$M$11&lt;0, $G95 &amp; ": " &amp; $H95, "OK")</f>
        <v>OK</v>
      </c>
      <c r="J95" s="160" t="str">
        <f>IF(LEN(IF(VLOOKUP("AMLA_VR_AML.02.01_C0140_01",$A:$I,9,0)&lt;&gt;"OK",CHAR(10)&amp;VLOOKUP("AMLA_VR_AML.02.01_C0140_01",$A:$I,9,0),"")&amp;IF(VLOOKUP("AMLA_VR_AML.02.01_C0140_02",$A:$I,9,0)&lt;&gt;"OK",CHAR(10)&amp;VLOOKUP("AMLA_VR_AML.02.01_C0140_02",$A:$I,9,0),""))=0,"OK",MID(IF(VLOOKUP("AMLA_VR_AML.02.01_C0140_01",$A:$I,9,0)&lt;&gt;"OK",CHAR(10)&amp;VLOOKUP("AMLA_VR_AML.02.01_C0140_01",$A:$I,9,0),"")&amp;IF(VLOOKUP("AMLA_VR_AML.02.01_C0140_02",$A:$I,9,0)&lt;&gt;"OK",CHAR(10)&amp;VLOOKUP("AMLA_VR_AML.02.01_C0140_02",$A:$I,9,0),""),2,3000))</f>
        <v>OK</v>
      </c>
      <c r="K95" s="160" t="s">
        <v>1775</v>
      </c>
    </row>
    <row r="96" spans="1:11">
      <c r="A96" s="159" t="str">
        <f>"AMLA_VR_" &amp; B96 &amp; "_" &amp; C96 &amp; "_" &amp; TEXT(COUNTIFS($B$2:B96, B96, $C$2:C96, C96), "00")</f>
        <v>AMLA_VR_AML.02.01_C0140_02</v>
      </c>
      <c r="B96" s="160" t="s">
        <v>129</v>
      </c>
      <c r="C96" s="160" t="s">
        <v>94</v>
      </c>
      <c r="D96" s="160" t="s">
        <v>1562</v>
      </c>
      <c r="E96" s="160" t="str" cm="1">
        <f t="array" aca="1" ref="E96" ca="1">IF(C96="", INDIRECT("'"&amp;B96&amp;"'!B3"), INDEX(INDIRECT("'"&amp;B96&amp;"'!5:5"), COLUMN(INDIRECT("'"&amp;B96&amp;"'!"&amp;D96))))</f>
        <v>Customers with cross border Transactions - Non-EEA</v>
      </c>
      <c r="F96" s="160" t="s">
        <v>1776</v>
      </c>
      <c r="G96" s="160" t="s">
        <v>1773</v>
      </c>
      <c r="H96" s="161" t="s">
        <v>1816</v>
      </c>
      <c r="I96" s="160" t="str">
        <f>IF(TRIM(SUBSTITUTE('AML.02.01'!$O$11&amp;"",CHAR(160),""))="","OK",IF(OR(NOT(ISNUMBER('AML.02.01'!$O$11)),IFERROR(INT('AML.02.01'!$O$11)&lt;&gt;'AML.02.01'!$O$11,TRUE)),$G97&amp;": "&amp;$H97,"OK"))</f>
        <v>OK</v>
      </c>
      <c r="J96" s="160" t="str">
        <f>IF(LEN(IF(VLOOKUP("AMLA_VR_AML.02.01_C0140_01",$A:$I,9,0)&lt;&gt;"OK",CHAR(10)&amp;VLOOKUP("AMLA_VR_AML.02.01_C0140_01",$A:$I,9,0),"")&amp;IF(VLOOKUP("AMLA_VR_AML.02.01_C0140_02",$A:$I,9,0)&lt;&gt;"OK",CHAR(10)&amp;VLOOKUP("AMLA_VR_AML.02.01_C0140_02",$A:$I,9,0),""))=0,"OK",MID(IF(VLOOKUP("AMLA_VR_AML.02.01_C0140_01",$A:$I,9,0)&lt;&gt;"OK",CHAR(10)&amp;VLOOKUP("AMLA_VR_AML.02.01_C0140_01",$A:$I,9,0),"")&amp;IF(VLOOKUP("AMLA_VR_AML.02.01_C0140_02",$A:$I,9,0)&lt;&gt;"OK",CHAR(10)&amp;VLOOKUP("AMLA_VR_AML.02.01_C0140_02",$A:$I,9,0),""),2,3000))</f>
        <v>OK</v>
      </c>
      <c r="K96" s="160" t="s">
        <v>1775</v>
      </c>
    </row>
    <row r="97" spans="1:11">
      <c r="A97" s="159" t="str">
        <f>"AMLA_VR_" &amp; B97 &amp; "_" &amp; C97 &amp; "_" &amp; TEXT(COUNTIFS($B$2:B97, B97, $C$2:C97, C97), "00")</f>
        <v>AMLA_VR_AML.02.01_C0150_01</v>
      </c>
      <c r="B97" s="160" t="s">
        <v>129</v>
      </c>
      <c r="C97" s="160" t="s">
        <v>95</v>
      </c>
      <c r="D97" s="160" t="s">
        <v>1563</v>
      </c>
      <c r="E97" s="160" t="str" cm="1">
        <f t="array" aca="1" ref="E97" ca="1">IF(C97="", INDIRECT("'"&amp;B97&amp;"'!B3"), INDEX(INDIRECT("'"&amp;B97&amp;"'!5:5"), COLUMN(INDIRECT("'"&amp;B97&amp;"'!"&amp;D97))))</f>
        <v>‘Walk-in customers’ with occasional transactions</v>
      </c>
      <c r="F97" s="160" t="s">
        <v>1772</v>
      </c>
      <c r="G97" s="160" t="s">
        <v>1773</v>
      </c>
      <c r="H97" s="161" t="s">
        <v>1834</v>
      </c>
      <c r="I97" s="157" t="str">
        <f>IF('AML.02.01'!$P$11&lt;0, $G97 &amp; ": " &amp; $H97, "OK")</f>
        <v>OK</v>
      </c>
      <c r="J97" s="160" t="str">
        <f>IF(LEN(IF(VLOOKUP("AMLA_VR_AML.02.01_C0150_01",$A:$I,9,0)&lt;&gt;"OK",CHAR(10)&amp;VLOOKUP("AMLA_VR_AML.02.01_C0150_01",$A:$I,9,0),"")&amp;IF(VLOOKUP("AMLA_VR_AML.02.01_C0150_02",$A:$I,9,0)&lt;&gt;"OK",CHAR(10)&amp;VLOOKUP("AMLA_VR_AML.02.01_C0150_02",$A:$I,9,0),""))=0,"OK",MID(IF(VLOOKUP("AMLA_VR_AML.02.01_C0150_01",$A:$I,9,0)&lt;&gt;"OK",CHAR(10)&amp;VLOOKUP("AMLA_VR_AML.02.01_C0150_01",$A:$I,9,0),"")&amp;IF(VLOOKUP("AMLA_VR_AML.02.01_C0150_02",$A:$I,9,0)&lt;&gt;"OK",CHAR(10)&amp;VLOOKUP("AMLA_VR_AML.02.01_C0150_02",$A:$I,9,0),""),2,3000))</f>
        <v>OK</v>
      </c>
      <c r="K97" s="157" t="s">
        <v>1775</v>
      </c>
    </row>
    <row r="98" spans="1:11">
      <c r="A98" s="159" t="str">
        <f>"AMLA_VR_" &amp; B98 &amp; "_" &amp; C98 &amp; "_" &amp; TEXT(COUNTIFS($B$2:B98, B98, $C$2:C98, C98), "00")</f>
        <v>AMLA_VR_AML.02.01_C0150_02</v>
      </c>
      <c r="B98" s="160" t="s">
        <v>129</v>
      </c>
      <c r="C98" s="160" t="s">
        <v>95</v>
      </c>
      <c r="D98" s="160" t="s">
        <v>1563</v>
      </c>
      <c r="E98" s="160" t="str" cm="1">
        <f t="array" aca="1" ref="E98" ca="1">IF(C98="", INDIRECT("'"&amp;B98&amp;"'!B3"), INDEX(INDIRECT("'"&amp;B98&amp;"'!5:5"), COLUMN(INDIRECT("'"&amp;B98&amp;"'!"&amp;D98))))</f>
        <v>‘Walk-in customers’ with occasional transactions</v>
      </c>
      <c r="F98" s="160" t="s">
        <v>1776</v>
      </c>
      <c r="G98" s="160" t="s">
        <v>1773</v>
      </c>
      <c r="H98" s="161" t="s">
        <v>1816</v>
      </c>
      <c r="I98" s="160" t="str">
        <f>IF(TRIM(SUBSTITUTE('AML.02.01'!$Q$11&amp;"",CHAR(160),""))="","OK",IF(OR(NOT(ISNUMBER('AML.02.01'!$Q$11)),IFERROR(INT('AML.02.01'!$Q$11)&lt;&gt;'AML.02.01'!$Q$11,TRUE)),$G98&amp;": "&amp;$H98,"OK"))</f>
        <v>OK</v>
      </c>
      <c r="J98" s="160" t="str">
        <f>IF(LEN(IF(VLOOKUP("AMLA_VR_AML.02.01_C0150_01",$A:$I,9,0)&lt;&gt;"OK",CHAR(10)&amp;VLOOKUP("AMLA_VR_AML.02.01_C0150_01",$A:$I,9,0),"")&amp;IF(VLOOKUP("AMLA_VR_AML.02.01_C0150_02",$A:$I,9,0)&lt;&gt;"OK",CHAR(10)&amp;VLOOKUP("AMLA_VR_AML.02.01_C0150_02",$A:$I,9,0),""))=0,"OK",MID(IF(VLOOKUP("AMLA_VR_AML.02.01_C0150_01",$A:$I,9,0)&lt;&gt;"OK",CHAR(10)&amp;VLOOKUP("AMLA_VR_AML.02.01_C0150_01",$A:$I,9,0),"")&amp;IF(VLOOKUP("AMLA_VR_AML.02.01_C0150_02",$A:$I,9,0)&lt;&gt;"OK",CHAR(10)&amp;VLOOKUP("AMLA_VR_AML.02.01_C0150_02",$A:$I,9,0),""),2,3000))</f>
        <v>OK</v>
      </c>
      <c r="K98" s="157" t="s">
        <v>1775</v>
      </c>
    </row>
    <row r="99" spans="1:11">
      <c r="A99" s="159" t="str">
        <f>"AMLA_VR_" &amp; B99 &amp; "_" &amp; C99 &amp; "_" &amp; TEXT(COUNTIFS($B$2:B99, B99, $C$2:C99, C99), "00")</f>
        <v>AMLA_VR_AML.02.01_C0160_01</v>
      </c>
      <c r="B99" s="160" t="s">
        <v>129</v>
      </c>
      <c r="C99" s="160" t="s">
        <v>96</v>
      </c>
      <c r="D99" s="160" t="s">
        <v>1564</v>
      </c>
      <c r="E99" s="160" t="str" cm="1">
        <f t="array" aca="1" ref="E99" ca="1">IF(C99="", INDIRECT("'"&amp;B99&amp;"'!B3"), INDEX(INDIRECT("'"&amp;B99&amp;"'!5:5"), COLUMN(INDIRECT("'"&amp;B99&amp;"'!"&amp;D99))))</f>
        <v>Occasional Transactions carried out by ‘Walk-in customers’</v>
      </c>
      <c r="F99" s="160" t="s">
        <v>1772</v>
      </c>
      <c r="G99" s="160" t="s">
        <v>1773</v>
      </c>
      <c r="H99" s="161" t="s">
        <v>1835</v>
      </c>
      <c r="I99" s="157" t="str">
        <f>IF('AML.02.01'!$Q$11&lt;0, $G99 &amp; ": " &amp; $H99, "OK")</f>
        <v>OK</v>
      </c>
      <c r="J99" s="160" t="str">
        <f>IF(LEN(IF(VLOOKUP("AMLA_VR_AML.02.01_C0160_01",$A:$I,9,0)&lt;&gt;"OK",CHAR(10)&amp;VLOOKUP("AMLA_VR_AML.02.01_C0160_01",$A:$I,9,0),"")&amp;IF(VLOOKUP("AMLA_VR_AML.02.01_C0160_02",$A:$I,9,0)&lt;&gt;"OK",CHAR(10)&amp;VLOOKUP("AMLA_VR_AML.02.01_C0160_02",$A:$I,9,0),""))=0,"OK",MID(IF(VLOOKUP("AMLA_VR_AML.02.01_C0160_01",$A:$I,9,0)&lt;&gt;"OK",CHAR(10)&amp;VLOOKUP("AMLA_VR_AML.02.01_C0160_01",$A:$I,9,0),"")&amp;IF(VLOOKUP("AMLA_VR_AML.02.01_C0160_02",$A:$I,9,0)&lt;&gt;"OK",CHAR(10)&amp;VLOOKUP("AMLA_VR_AML.02.01_C0160_02",$A:$I,9,0),""),2,3000))</f>
        <v>OK</v>
      </c>
      <c r="K99" s="157" t="s">
        <v>1775</v>
      </c>
    </row>
    <row r="100" spans="1:11">
      <c r="A100" s="159" t="str">
        <f>"AMLA_VR_" &amp; B100 &amp; "_" &amp; C100 &amp; "_" &amp; TEXT(COUNTIFS($B$2:B100, B100, $C$2:C100, C100), "00")</f>
        <v>AMLA_VR_AML.02.01_C0160_02</v>
      </c>
      <c r="B100" s="160" t="s">
        <v>129</v>
      </c>
      <c r="C100" s="160" t="s">
        <v>96</v>
      </c>
      <c r="D100" s="160" t="s">
        <v>1564</v>
      </c>
      <c r="E100" s="160" t="str" cm="1">
        <f t="array" aca="1" ref="E100" ca="1">IF(C100="", INDIRECT("'"&amp;B100&amp;"'!B3"), INDEX(INDIRECT("'"&amp;B100&amp;"'!5:5"), COLUMN(INDIRECT("'"&amp;B100&amp;"'!"&amp;D100))))</f>
        <v>Occasional Transactions carried out by ‘Walk-in customers’</v>
      </c>
      <c r="F100" s="160" t="s">
        <v>1776</v>
      </c>
      <c r="G100" s="160" t="s">
        <v>1773</v>
      </c>
      <c r="H100" s="161" t="s">
        <v>1816</v>
      </c>
      <c r="I100" s="157" t="str">
        <f>IF(AND('AML.02.01'!$P$11=0, 'AML.02.01'!$Q$11&gt;0), $G97 &amp; ": " &amp; $H97, "OK")</f>
        <v>OK</v>
      </c>
      <c r="J100" s="160" t="str">
        <f>IF(LEN(IF(VLOOKUP("AMLA_VR_AML.02.01_C0160_01",$A:$I,9,0)&lt;&gt;"OK",CHAR(10)&amp;VLOOKUP("AMLA_VR_AML.02.01_C0160_01",$A:$I,9,0),"")&amp;IF(VLOOKUP("AMLA_VR_AML.02.01_C0160_02",$A:$I,9,0)&lt;&gt;"OK",CHAR(10)&amp;VLOOKUP("AMLA_VR_AML.02.01_C0160_02",$A:$I,9,0),""))=0,"OK",MID(IF(VLOOKUP("AMLA_VR_AML.02.01_C0160_01",$A:$I,9,0)&lt;&gt;"OK",CHAR(10)&amp;VLOOKUP("AMLA_VR_AML.02.01_C0160_01",$A:$I,9,0),"")&amp;IF(VLOOKUP("AMLA_VR_AML.02.01_C0160_02",$A:$I,9,0)&lt;&gt;"OK",CHAR(10)&amp;VLOOKUP("AMLA_VR_AML.02.01_C0160_02",$A:$I,9,0),""),2,3000))</f>
        <v>OK</v>
      </c>
      <c r="K100" s="157" t="s">
        <v>1775</v>
      </c>
    </row>
    <row r="101" spans="1:11">
      <c r="A101" s="159" t="str">
        <f>"AMLA_VR_" &amp; B101 &amp; "_" &amp; C101 &amp; "_" &amp; TEXT(COUNTIFS($B$2:B101, B101, $C$2:C101, C101), "00")</f>
        <v>AMLA_VR_AML.02.01_C0170_01</v>
      </c>
      <c r="B101" s="160" t="s">
        <v>129</v>
      </c>
      <c r="C101" s="160" t="s">
        <v>97</v>
      </c>
      <c r="D101" s="160" t="s">
        <v>1565</v>
      </c>
      <c r="E101" s="160" t="str" cm="1">
        <f t="array" aca="1" ref="E101" ca="1">IF(C101="", INDIRECT("'"&amp;B101&amp;"'!B3"), INDEX(INDIRECT("'"&amp;B101&amp;"'!5:5"), COLUMN(INDIRECT("'"&amp;B101&amp;"'!"&amp;D101))))</f>
        <v>Customers with requests from FIU</v>
      </c>
      <c r="F101" s="160" t="s">
        <v>1772</v>
      </c>
      <c r="G101" s="160" t="s">
        <v>1773</v>
      </c>
      <c r="H101" s="161" t="s">
        <v>1836</v>
      </c>
      <c r="I101" s="160" t="str">
        <f>IF('AML.02.01'!$R$11&lt;0, $G101 &amp; ": " &amp; $H101, "OK")</f>
        <v>OK</v>
      </c>
      <c r="J101" s="160" t="str">
        <f>IF(LEN(IF(VLOOKUP("AMLA_VR_AML.02.01_C0170_01",$A:$I,9,0)&lt;&gt;"OK",CHAR(10)&amp;VLOOKUP("AMLA_VR_AML.02.01_C0170_01",$A:$I,9,0),"")&amp;IF(VLOOKUP("AMLA_VR_AML.02.01_C0170_02",$A:$I,9,0)&lt;&gt;"OK",CHAR(10)&amp;VLOOKUP("AMLA_VR_AML.02.01_C0170_02",$A:$I,9,0),""))=0,"OK",MID(IF(VLOOKUP("AMLA_VR_AML.02.01_C0170_01",$A:$I,9,0)&lt;&gt;"OK",CHAR(10)&amp;VLOOKUP("AMLA_VR_AML.02.01_C0170_01",$A:$I,9,0),"")&amp;IF(VLOOKUP("AMLA_VR_AML.02.01_C0170_02",$A:$I,9,0)&lt;&gt;"OK",CHAR(10)&amp;VLOOKUP("AMLA_VR_AML.02.01_C0170_02",$A:$I,9,0),""),2,3000))</f>
        <v>OK</v>
      </c>
      <c r="K101" s="157" t="s">
        <v>1775</v>
      </c>
    </row>
    <row r="102" spans="1:11">
      <c r="A102" s="159" t="str">
        <f>"AMLA_VR_" &amp; B102 &amp; "_" &amp; C102 &amp; "_" &amp; TEXT(COUNTIFS($B$2:B102, B102, $C$2:C102, C102), "00")</f>
        <v>AMLA_VR_AML.02.01_C0170_02</v>
      </c>
      <c r="B102" s="160" t="s">
        <v>129</v>
      </c>
      <c r="C102" s="160" t="s">
        <v>97</v>
      </c>
      <c r="D102" s="160" t="s">
        <v>1565</v>
      </c>
      <c r="E102" s="160" t="str" cm="1">
        <f t="array" aca="1" ref="E102" ca="1">IF(C102="", INDIRECT("'"&amp;B102&amp;"'!B3"), INDEX(INDIRECT("'"&amp;B102&amp;"'!5:5"), COLUMN(INDIRECT("'"&amp;B102&amp;"'!"&amp;D102))))</f>
        <v>Customers with requests from FIU</v>
      </c>
      <c r="F102" s="160" t="s">
        <v>1776</v>
      </c>
      <c r="G102" s="160" t="s">
        <v>1773</v>
      </c>
      <c r="H102" s="161" t="s">
        <v>1816</v>
      </c>
      <c r="I102" s="160" t="str">
        <f>IF(TRIM(SUBSTITUTE('AML.02.01'!$R$11&amp;"",CHAR(160),""))="","OK",IF(OR(NOT(ISNUMBER('AML.02.01'!$R$11)),IFERROR(INT('AML.02.01'!$R$11)&lt;&gt;'AML.02.01'!$R$11,TRUE)),$G102&amp;": "&amp;$H102,"OK"))</f>
        <v>OK</v>
      </c>
      <c r="J102" s="160" t="str">
        <f>IF(LEN(IF(VLOOKUP("AMLA_VR_AML.02.01_C0170_01",$A:$I,9,0)&lt;&gt;"OK",CHAR(10)&amp;VLOOKUP("AMLA_VR_AML.02.01_C0170_01",$A:$I,9,0),"")&amp;IF(VLOOKUP("AMLA_VR_AML.02.01_C0170_02",$A:$I,9,0)&lt;&gt;"OK",CHAR(10)&amp;VLOOKUP("AMLA_VR_AML.02.01_C0170_02",$A:$I,9,0),""))=0,"OK",MID(IF(VLOOKUP("AMLA_VR_AML.02.01_C0170_01",$A:$I,9,0)&lt;&gt;"OK",CHAR(10)&amp;VLOOKUP("AMLA_VR_AML.02.01_C0170_01",$A:$I,9,0),"")&amp;IF(VLOOKUP("AMLA_VR_AML.02.01_C0170_02",$A:$I,9,0)&lt;&gt;"OK",CHAR(10)&amp;VLOOKUP("AMLA_VR_AML.02.01_C0170_02",$A:$I,9,0),""),2,3000))</f>
        <v>OK</v>
      </c>
      <c r="K102" s="157" t="s">
        <v>1775</v>
      </c>
    </row>
    <row r="103" spans="1:11">
      <c r="A103" s="159" t="str">
        <f>"AMLA_VR_" &amp; B103 &amp; "_" &amp; C103 &amp; "_" &amp; TEXT(COUNTIFS($B$2:B103, B103, $C$2:C103, C103), "00")</f>
        <v>AMLA_VR_AML.03.01_C0010_01</v>
      </c>
      <c r="B103" s="157" t="s">
        <v>152</v>
      </c>
      <c r="C103" s="157" t="s">
        <v>81</v>
      </c>
      <c r="D103" s="157" t="s">
        <v>1549</v>
      </c>
      <c r="E103" s="160" t="str" cm="1">
        <f t="array" aca="1" ref="E103" ca="1">IF(C103="", INDIRECT("'"&amp;B103&amp;"'!B3"), INDEX(INDIRECT("'"&amp;B103&amp;"'!5:5"), COLUMN(INDIRECT("'"&amp;B103&amp;"'!"&amp;D103))))</f>
        <v>Payment Accounts</v>
      </c>
      <c r="F103" s="157" t="s">
        <v>1772</v>
      </c>
      <c r="G103" s="157" t="s">
        <v>1773</v>
      </c>
      <c r="H103" s="158" t="s">
        <v>1815</v>
      </c>
      <c r="I103" s="157" t="str">
        <f>IF('AML.03.01'!$B$11&lt;0, $G103 &amp; ": " &amp; $H103, "OK")</f>
        <v>OK</v>
      </c>
      <c r="J103" s="157" t="str">
        <f>IF(LEN(IF(VLOOKUP("AMLA_VR_AML.03.01_C0010_01",$A:$I,9,0)&lt;&gt;"OK",CHAR(10)&amp;VLOOKUP("AMLA_VR_AML.03.01_C0010_01",$A:$I,9,0),"")&amp;IF(VLOOKUP("AMLA_VR_AML.03.01_C0010_02",$A:$I,9,0)&lt;&gt;"OK",CHAR(10)&amp;VLOOKUP("AMLA_VR_AML.03.01_C0010_02",$A:$I,9,0),""))=0,"OK",MID(IF(VLOOKUP("AMLA_VR_AML.03.01_C0010_01",$A:$I,9,0)&lt;&gt;"OK",CHAR(10)&amp;VLOOKUP("AMLA_VR_AML.03.01_C0010_01",$A:$I,9,0),"")&amp;IF(VLOOKUP("AMLA_VR_AML.03.01_C0010_02",$A:$I,9,0)&lt;&gt;"OK",CHAR(10)&amp;VLOOKUP("AMLA_VR_AML.03.01_C0010_02",$A:$I,9,0),""),2,3000))</f>
        <v>OK</v>
      </c>
      <c r="K103" s="157" t="s">
        <v>1775</v>
      </c>
    </row>
    <row r="104" spans="1:11">
      <c r="A104" s="159" t="str">
        <f>"AMLA_VR_" &amp; B104 &amp; "_" &amp; C104 &amp; "_" &amp; TEXT(COUNTIFS($B$2:B104, B104, $C$2:C104, C104), "00")</f>
        <v>AMLA_VR_AML.03.01_C0010_02</v>
      </c>
      <c r="B104" s="157" t="s">
        <v>152</v>
      </c>
      <c r="C104" s="157" t="s">
        <v>81</v>
      </c>
      <c r="D104" s="157" t="s">
        <v>1549</v>
      </c>
      <c r="E104" s="160" t="str" cm="1">
        <f t="array" aca="1" ref="E104" ca="1">IF(C104="", INDIRECT("'"&amp;B104&amp;"'!B3"), INDEX(INDIRECT("'"&amp;B104&amp;"'!5:5"), COLUMN(INDIRECT("'"&amp;B104&amp;"'!"&amp;D104))))</f>
        <v>Payment Accounts</v>
      </c>
      <c r="F104" s="157" t="s">
        <v>1776</v>
      </c>
      <c r="G104" s="157" t="s">
        <v>1773</v>
      </c>
      <c r="H104" s="158" t="s">
        <v>1816</v>
      </c>
      <c r="I104" s="157" t="str">
        <f>IF(TRIM(SUBSTITUTE('AML.03.01'!$B$11&amp;"",CHAR(160),""))="","OK",IF(OR(NOT(ISNUMBER('AML.03.01'!$B$11)),IFERROR(INT('AML.03.01'!$B$11)&lt;&gt;'AML.03.01'!$B$11,TRUE)),$G104&amp;": "&amp;$H104,"OK"))</f>
        <v>OK</v>
      </c>
      <c r="J104" s="157" t="str">
        <f>IF(LEN(IF(VLOOKUP("AMLA_VR_AML.03.01_C0010_01",$A:$I,9,0)&lt;&gt;"OK",CHAR(10)&amp;VLOOKUP("AMLA_VR_AML.03.01_C0010_01",$A:$I,9,0),"")&amp;IF(VLOOKUP("AMLA_VR_AML.03.01_C0010_02",$A:$I,9,0)&lt;&gt;"OK",CHAR(10)&amp;VLOOKUP("AMLA_VR_AML.03.01_C0010_02",$A:$I,9,0),""))=0,"OK",MID(IF(VLOOKUP("AMLA_VR_AML.03.01_C0010_01",$A:$I,9,0)&lt;&gt;"OK",CHAR(10)&amp;VLOOKUP("AMLA_VR_AML.03.01_C0010_01",$A:$I,9,0),"")&amp;IF(VLOOKUP("AMLA_VR_AML.03.01_C0010_02",$A:$I,9,0)&lt;&gt;"OK",CHAR(10)&amp;VLOOKUP("AMLA_VR_AML.03.01_C0010_02",$A:$I,9,0),""),2,3000))</f>
        <v>OK</v>
      </c>
      <c r="K104" s="157" t="s">
        <v>1775</v>
      </c>
    </row>
    <row r="105" spans="1:11">
      <c r="A105" s="159" t="str">
        <f>"AMLA_VR_" &amp; B105 &amp; "_" &amp; C105 &amp; "_" &amp; TEXT(COUNTIFS($B$2:B105, B105, $C$2:C105, C105), "00")</f>
        <v>AMLA_VR_AML.03.01_C0020_01</v>
      </c>
      <c r="B105" s="160" t="s">
        <v>152</v>
      </c>
      <c r="C105" s="160" t="s">
        <v>82</v>
      </c>
      <c r="D105" s="160" t="s">
        <v>1550</v>
      </c>
      <c r="E105" s="160" t="str" cm="1">
        <f t="array" aca="1" ref="E105" ca="1">IF(C105="", INDIRECT("'"&amp;B105&amp;"'!B3"), INDEX(INDIRECT("'"&amp;B105&amp;"'!5:5"), COLUMN(INDIRECT("'"&amp;B105&amp;"'!"&amp;D105))))</f>
        <v>Incoming Transactions - Value</v>
      </c>
      <c r="F105" s="160" t="s">
        <v>1772</v>
      </c>
      <c r="G105" s="160" t="s">
        <v>1773</v>
      </c>
      <c r="H105" s="161" t="s">
        <v>1819</v>
      </c>
      <c r="I105" s="160" t="str">
        <f>IF('AML.03.01'!$C$11&lt;0, $G105 &amp; ": " &amp; $H105, "OK")</f>
        <v>OK</v>
      </c>
      <c r="J105" s="160" t="str">
        <f>IF(LEN(IF(VLOOKUP("AMLA_VR_AML.03.01_C0020_01",$A:$I,9,0)&lt;&gt;"OK",CHAR(10)&amp;VLOOKUP("AMLA_VR_AML.03.01_C0020_01",$A:$I,9,0),"")&amp;IF(VLOOKUP("AMLA_VR_AML.03.01_C0020_02",$A:$I,9,0)&lt;&gt;"OK",CHAR(10)&amp;VLOOKUP("AMLA_VR_AML.03.01_C0020_02",$A:$I,9,0),"")&amp;IF(VLOOKUP("AMLA_VR_AML.03.01_C0020_03",$A:$I,9,0)&lt;&gt;"OK",CHAR(10)&amp;VLOOKUP("AMLA_VR_AML.03.01_C0020_03",$A:$I,9,0),""))=0,"OK",MID(IF(VLOOKUP("AMLA_VR_AML.03.01_C0020_01",$A:$I,9,0)&lt;&gt;"OK",CHAR(10)&amp;VLOOKUP("AMLA_VR_AML.03.01_C0020_01",$A:$I,9,0),"")&amp;IF(VLOOKUP("AMLA_VR_AML.03.01_C0020_02",$A:$I,9,0)&lt;&gt;"OK",CHAR(10)&amp;VLOOKUP("AMLA_VR_AML.03.01_C0020_02",$A:$I,9,0),"")&amp;IF(VLOOKUP("AMLA_VR_AML.03.01_C0020_03",$A:$I,9,0)&lt;&gt;"OK",CHAR(10)&amp;VLOOKUP("AMLA_VR_AML.03.01_C0020_03",$A:$I,9,0),""),2,3000))</f>
        <v>OK</v>
      </c>
      <c r="K105" s="160" t="s">
        <v>1775</v>
      </c>
    </row>
    <row r="106" spans="1:11">
      <c r="A106" s="159" t="str">
        <f>"AMLA_VR_" &amp; B106 &amp; "_" &amp; C106 &amp; "_" &amp; TEXT(COUNTIFS($B$2:B106, B106, $C$2:C106, C106), "00")</f>
        <v>AMLA_VR_AML.03.01_C0020_02</v>
      </c>
      <c r="B106" s="160" t="s">
        <v>152</v>
      </c>
      <c r="C106" s="160" t="s">
        <v>82</v>
      </c>
      <c r="D106" s="160" t="s">
        <v>1550</v>
      </c>
      <c r="E106" s="160" t="str" cm="1">
        <f t="array" aca="1" ref="E106" ca="1">IF(C106="", INDIRECT("'"&amp;B106&amp;"'!B3"), INDEX(INDIRECT("'"&amp;B106&amp;"'!5:5"), COLUMN(INDIRECT("'"&amp;B106&amp;"'!"&amp;D106))))</f>
        <v>Incoming Transactions - Value</v>
      </c>
      <c r="F106" s="160" t="s">
        <v>1776</v>
      </c>
      <c r="G106" s="160" t="s">
        <v>1773</v>
      </c>
      <c r="H106" s="161" t="s">
        <v>1837</v>
      </c>
      <c r="I106" s="160" t="str">
        <f>IF(TRIM(SUBSTITUTE('AML.03.01'!$C$11&amp;"",CHAR(160),""))="","OK",IF(NOT(ISNUMBER('AML.03.01'!$C$11)),$G106&amp;": "&amp;$H106,"OK"))</f>
        <v>OK</v>
      </c>
      <c r="J106" s="160" t="str">
        <f>IF(LEN(IF(VLOOKUP("AMLA_VR_AML.03.01_C0020_01",$A:$I,9,0)&lt;&gt;"OK",CHAR(10)&amp;VLOOKUP("AMLA_VR_AML.03.01_C0020_01",$A:$I,9,0),"")&amp;IF(VLOOKUP("AMLA_VR_AML.03.01_C0020_02",$A:$I,9,0)&lt;&gt;"OK",CHAR(10)&amp;VLOOKUP("AMLA_VR_AML.03.01_C0020_02",$A:$I,9,0),"")&amp;IF(VLOOKUP("AMLA_VR_AML.03.01_C0020_03",$A:$I,9,0)&lt;&gt;"OK",CHAR(10)&amp;VLOOKUP("AMLA_VR_AML.03.01_C0020_03",$A:$I,9,0),""))=0,"OK",MID(IF(VLOOKUP("AMLA_VR_AML.03.01_C0020_01",$A:$I,9,0)&lt;&gt;"OK",CHAR(10)&amp;VLOOKUP("AMLA_VR_AML.03.01_C0020_01",$A:$I,9,0),"")&amp;IF(VLOOKUP("AMLA_VR_AML.03.01_C0020_02",$A:$I,9,0)&lt;&gt;"OK",CHAR(10)&amp;VLOOKUP("AMLA_VR_AML.03.01_C0020_02",$A:$I,9,0),"")&amp;IF(VLOOKUP("AMLA_VR_AML.03.01_C0020_03",$A:$I,9,0)&lt;&gt;"OK",CHAR(10)&amp;VLOOKUP("AMLA_VR_AML.03.01_C0020_03",$A:$I,9,0),""),2,3000))</f>
        <v>OK</v>
      </c>
      <c r="K106" s="160" t="s">
        <v>1775</v>
      </c>
    </row>
    <row r="107" spans="1:11">
      <c r="A107" s="159" t="str">
        <f>"AMLA_VR_" &amp; B107 &amp; "_" &amp; C107 &amp; "_" &amp; TEXT(COUNTIFS($B$2:B107, B107, $C$2:C107, C107), "00")</f>
        <v>AMLA_VR_AML.03.01_C0020_03</v>
      </c>
      <c r="B107" s="157" t="s">
        <v>152</v>
      </c>
      <c r="C107" s="157" t="s">
        <v>82</v>
      </c>
      <c r="D107" s="157" t="s">
        <v>1550</v>
      </c>
      <c r="E107" s="160" t="str" cm="1">
        <f t="array" aca="1" ref="E107" ca="1">IF(C107="", INDIRECT("'"&amp;B107&amp;"'!B3"), INDEX(INDIRECT("'"&amp;B107&amp;"'!5:5"), COLUMN(INDIRECT("'"&amp;B107&amp;"'!"&amp;D107))))</f>
        <v>Incoming Transactions - Value</v>
      </c>
      <c r="F107" s="157" t="s">
        <v>1772</v>
      </c>
      <c r="G107" s="157" t="s">
        <v>1813</v>
      </c>
      <c r="H107" s="158" t="s">
        <v>1838</v>
      </c>
      <c r="I107" s="157" t="str">
        <f>IF(AND('AML.03.01'!$C$11=0, 'AML.03.01'!$D$11&gt;0), $G107 &amp; ": " &amp; $H107, "OK")</f>
        <v>OK</v>
      </c>
      <c r="J107" s="157" t="str">
        <f>IF(LEN(IF(VLOOKUP("AMLA_VR_AML.03.01_C0020_01",$A:$I,9,0)&lt;&gt;"OK",CHAR(10)&amp;VLOOKUP("AMLA_VR_AML.03.01_C0020_01",$A:$I,9,0),"")&amp;IF(VLOOKUP("AMLA_VR_AML.03.01_C0020_02",$A:$I,9,0)&lt;&gt;"OK",CHAR(10)&amp;VLOOKUP("AMLA_VR_AML.03.01_C0020_02",$A:$I,9,0),"")&amp;IF(VLOOKUP("AMLA_VR_AML.03.01_C0020_03",$A:$I,9,0)&lt;&gt;"OK",CHAR(10)&amp;VLOOKUP("AMLA_VR_AML.03.01_C0020_03",$A:$I,9,0),""))=0,"OK",MID(IF(VLOOKUP("AMLA_VR_AML.03.01_C0020_01",$A:$I,9,0)&lt;&gt;"OK",CHAR(10)&amp;VLOOKUP("AMLA_VR_AML.03.01_C0020_01",$A:$I,9,0),"")&amp;IF(VLOOKUP("AMLA_VR_AML.03.01_C0020_02",$A:$I,9,0)&lt;&gt;"OK",CHAR(10)&amp;VLOOKUP("AMLA_VR_AML.03.01_C0020_02",$A:$I,9,0),"")&amp;IF(VLOOKUP("AMLA_VR_AML.03.01_C0020_03",$A:$I,9,0)&lt;&gt;"OK",CHAR(10)&amp;VLOOKUP("AMLA_VR_AML.03.01_C0020_03",$A:$I,9,0),""),2,3000))</f>
        <v>OK</v>
      </c>
      <c r="K107" s="157" t="s">
        <v>1775</v>
      </c>
    </row>
    <row r="108" spans="1:11">
      <c r="A108" s="159" t="str">
        <f>"AMLA_VR_" &amp; B108 &amp; "_" &amp; C108 &amp; "_" &amp; TEXT(COUNTIFS($B$2:B108, B108, $C$2:C108, C108), "00")</f>
        <v>AMLA_VR_AML.03.01_C0030_01</v>
      </c>
      <c r="B108" s="160" t="s">
        <v>152</v>
      </c>
      <c r="C108" s="160" t="s">
        <v>83</v>
      </c>
      <c r="D108" s="160" t="s">
        <v>1551</v>
      </c>
      <c r="E108" s="160" t="str" cm="1">
        <f t="array" aca="1" ref="E108" ca="1">IF(C108="", INDIRECT("'"&amp;B108&amp;"'!B3"), INDEX(INDIRECT("'"&amp;B108&amp;"'!5:5"), COLUMN(INDIRECT("'"&amp;B108&amp;"'!"&amp;D108))))</f>
        <v>Incoming Transactions - Number</v>
      </c>
      <c r="F108" s="160" t="s">
        <v>1772</v>
      </c>
      <c r="G108" s="160" t="s">
        <v>1773</v>
      </c>
      <c r="H108" s="161" t="s">
        <v>1820</v>
      </c>
      <c r="I108" s="160" t="str">
        <f>IF('AML.03.01'!$D$11&lt;0, $G108 &amp; ": " &amp; $H108, "OK")</f>
        <v>OK</v>
      </c>
      <c r="J108" s="160" t="str">
        <f>IF(LEN(IF(VLOOKUP("AMLA_VR_AML.03.01_C0030_01",$A:$I,9,0)&lt;&gt;"OK",CHAR(10)&amp;VLOOKUP("AMLA_VR_AML.03.01_C0030_01",$A:$I,9,0),"")&amp;IF(VLOOKUP("AMLA_VR_AML.03.01_C0030_02",$A:$I,9,0)&lt;&gt;"OK",CHAR(10)&amp;VLOOKUP("AMLA_VR_AML.03.01_C0030_02",$A:$I,9,0),"")&amp;IF(VLOOKUP("AMLA_VR_AML.03.01_C0030_03",$A:$I,9,0)&lt;&gt;"OK",CHAR(10)&amp;VLOOKUP("AMLA_VR_AML.03.01_C0030_03",$A:$I,9,0),""))=0,"OK",MID(IF(VLOOKUP("AMLA_VR_AML.03.01_C0030_01",$A:$I,9,0)&lt;&gt;"OK",CHAR(10)&amp;VLOOKUP("AMLA_VR_AML.03.01_C0030_01",$A:$I,9,0),"")&amp;IF(VLOOKUP("AMLA_VR_AML.03.01_C0030_02",$A:$I,9,0)&lt;&gt;"OK",CHAR(10)&amp;VLOOKUP("AMLA_VR_AML.03.01_C0030_02",$A:$I,9,0),"")&amp;IF(VLOOKUP("AMLA_VR_AML.03.01_C0030_03",$A:$I,9,0)&lt;&gt;"OK",CHAR(10)&amp;VLOOKUP("AMLA_VR_AML.03.01_C0030_03",$A:$I,9,0),""),2,3000))</f>
        <v>OK</v>
      </c>
      <c r="K108" s="160" t="s">
        <v>1775</v>
      </c>
    </row>
    <row r="109" spans="1:11">
      <c r="A109" s="159" t="str">
        <f>"AMLA_VR_" &amp; B109 &amp; "_" &amp; C109 &amp; "_" &amp; TEXT(COUNTIFS($B$2:B109, B109, $C$2:C109, C109), "00")</f>
        <v>AMLA_VR_AML.03.01_C0030_02</v>
      </c>
      <c r="B109" s="157" t="s">
        <v>152</v>
      </c>
      <c r="C109" s="157" t="s">
        <v>83</v>
      </c>
      <c r="D109" s="157" t="s">
        <v>1551</v>
      </c>
      <c r="E109" s="160" t="str" cm="1">
        <f t="array" aca="1" ref="E109" ca="1">IF(C109="", INDIRECT("'"&amp;B109&amp;"'!B3"), INDEX(INDIRECT("'"&amp;B109&amp;"'!5:5"), COLUMN(INDIRECT("'"&amp;B109&amp;"'!"&amp;D109))))</f>
        <v>Incoming Transactions - Number</v>
      </c>
      <c r="F109" s="157" t="s">
        <v>1776</v>
      </c>
      <c r="G109" s="157" t="s">
        <v>1773</v>
      </c>
      <c r="H109" s="158" t="s">
        <v>1816</v>
      </c>
      <c r="I109" s="157" t="str">
        <f>IF(TRIM(SUBSTITUTE('AML.03.01'!$D$11&amp;"",CHAR(160),""))="","OK",IF(OR(NOT(ISNUMBER('AML.03.01'!$D$11)),IFERROR(INT('AML.03.01'!$D$11)&lt;&gt;'AML.03.01'!$D$11,TRUE)),$G109&amp;": "&amp;$H109,"OK"))</f>
        <v>OK</v>
      </c>
      <c r="J109" s="157" t="str">
        <f>IF(LEN(IF(VLOOKUP("AMLA_VR_AML.03.01_C0030_01",$A:$I,9,0)&lt;&gt;"OK",CHAR(10)&amp;VLOOKUP("AMLA_VR_AML.03.01_C0030_01",$A:$I,9,0),"")&amp;IF(VLOOKUP("AMLA_VR_AML.03.01_C0030_02",$A:$I,9,0)&lt;&gt;"OK",CHAR(10)&amp;VLOOKUP("AMLA_VR_AML.03.01_C0030_02",$A:$I,9,0),"")&amp;IF(VLOOKUP("AMLA_VR_AML.03.01_C0030_03",$A:$I,9,0)&lt;&gt;"OK",CHAR(10)&amp;VLOOKUP("AMLA_VR_AML.03.01_C0030_03",$A:$I,9,0),""))=0,"OK",MID(IF(VLOOKUP("AMLA_VR_AML.03.01_C0030_01",$A:$I,9,0)&lt;&gt;"OK",CHAR(10)&amp;VLOOKUP("AMLA_VR_AML.03.01_C0030_01",$A:$I,9,0),"")&amp;IF(VLOOKUP("AMLA_VR_AML.03.01_C0030_02",$A:$I,9,0)&lt;&gt;"OK",CHAR(10)&amp;VLOOKUP("AMLA_VR_AML.03.01_C0030_02",$A:$I,9,0),"")&amp;IF(VLOOKUP("AMLA_VR_AML.03.01_C0030_03",$A:$I,9,0)&lt;&gt;"OK",CHAR(10)&amp;VLOOKUP("AMLA_VR_AML.03.01_C0030_03",$A:$I,9,0),""),2,3000))</f>
        <v>OK</v>
      </c>
      <c r="K109" s="157" t="s">
        <v>1775</v>
      </c>
    </row>
    <row r="110" spans="1:11">
      <c r="A110" s="159" t="str">
        <f>"AMLA_VR_" &amp; B110 &amp; "_" &amp; C110 &amp; "_" &amp; TEXT(COUNTIFS($B$2:B110, B110, $C$2:C110, C110), "00")</f>
        <v>AMLA_VR_AML.03.01_C0030_03</v>
      </c>
      <c r="B110" s="157" t="s">
        <v>152</v>
      </c>
      <c r="C110" s="157" t="s">
        <v>83</v>
      </c>
      <c r="D110" s="157" t="s">
        <v>1551</v>
      </c>
      <c r="E110" s="160" t="str" cm="1">
        <f t="array" aca="1" ref="E110" ca="1">IF(C110="", INDIRECT("'"&amp;B110&amp;"'!B3"), INDEX(INDIRECT("'"&amp;B110&amp;"'!5:5"), COLUMN(INDIRECT("'"&amp;B110&amp;"'!"&amp;D110))))</f>
        <v>Incoming Transactions - Number</v>
      </c>
      <c r="F110" s="157" t="s">
        <v>1772</v>
      </c>
      <c r="G110" s="157" t="s">
        <v>1813</v>
      </c>
      <c r="H110" s="158" t="s">
        <v>1839</v>
      </c>
      <c r="I110" s="157" t="str">
        <f>IF(AND('AML.03.01'!$D$11=0, 'AML.03.01'!$C$11&gt;0), $G110 &amp; ": " &amp; $H110, "OK")</f>
        <v>OK</v>
      </c>
      <c r="J110" s="157" t="str">
        <f>IF(LEN(IF(VLOOKUP("AMLA_VR_AML.03.01_C0030_01",$A:$I,9,0)&lt;&gt;"OK",CHAR(10)&amp;VLOOKUP("AMLA_VR_AML.03.01_C0030_01",$A:$I,9,0),"")&amp;IF(VLOOKUP("AMLA_VR_AML.03.01_C0030_02",$A:$I,9,0)&lt;&gt;"OK",CHAR(10)&amp;VLOOKUP("AMLA_VR_AML.03.01_C0030_02",$A:$I,9,0),"")&amp;IF(VLOOKUP("AMLA_VR_AML.03.01_C0030_03",$A:$I,9,0)&lt;&gt;"OK",CHAR(10)&amp;VLOOKUP("AMLA_VR_AML.03.01_C0030_03",$A:$I,9,0),""))=0,"OK",MID(IF(VLOOKUP("AMLA_VR_AML.03.01_C0030_01",$A:$I,9,0)&lt;&gt;"OK",CHAR(10)&amp;VLOOKUP("AMLA_VR_AML.03.01_C0030_01",$A:$I,9,0),"")&amp;IF(VLOOKUP("AMLA_VR_AML.03.01_C0030_02",$A:$I,9,0)&lt;&gt;"OK",CHAR(10)&amp;VLOOKUP("AMLA_VR_AML.03.01_C0030_02",$A:$I,9,0),"")&amp;IF(VLOOKUP("AMLA_VR_AML.03.01_C0030_03",$A:$I,9,0)&lt;&gt;"OK",CHAR(10)&amp;VLOOKUP("AMLA_VR_AML.03.01_C0030_03",$A:$I,9,0),""),2,3000))</f>
        <v>OK</v>
      </c>
      <c r="K110" s="157" t="s">
        <v>1775</v>
      </c>
    </row>
    <row r="111" spans="1:11">
      <c r="A111" s="159" t="str">
        <f>"AMLA_VR_" &amp; B111 &amp; "_" &amp; C111 &amp; "_" &amp; TEXT(COUNTIFS($B$2:B111, B111, $C$2:C111, C111), "00")</f>
        <v>AMLA_VR_AML.03.01_C0040_01</v>
      </c>
      <c r="B111" s="160" t="s">
        <v>152</v>
      </c>
      <c r="C111" s="160" t="s">
        <v>84</v>
      </c>
      <c r="D111" s="160" t="s">
        <v>1552</v>
      </c>
      <c r="E111" s="160" t="str" cm="1">
        <f t="array" aca="1" ref="E111" ca="1">IF(C111="", INDIRECT("'"&amp;B111&amp;"'!B3"), INDEX(INDIRECT("'"&amp;B111&amp;"'!5:5"), COLUMN(INDIRECT("'"&amp;B111&amp;"'!"&amp;D111))))</f>
        <v>Outgoing Transactions - Value</v>
      </c>
      <c r="F111" s="160" t="s">
        <v>1772</v>
      </c>
      <c r="G111" s="160" t="s">
        <v>1773</v>
      </c>
      <c r="H111" s="161" t="s">
        <v>1821</v>
      </c>
      <c r="I111" s="160" t="str">
        <f>IF('AML.03.01'!$E$11&lt;0, $G111 &amp; ": " &amp; $H111, "OK")</f>
        <v>OK</v>
      </c>
      <c r="J111" s="160" t="str">
        <f>IF(LEN(IF(VLOOKUP("AMLA_VR_AML.03.01_C0040_01",$A:$I,9,0)&lt;&gt;"OK",CHAR(10)&amp;VLOOKUP("AMLA_VR_AML.03.01_C0040_01",$A:$I,9,0),"")&amp;IF(VLOOKUP("AMLA_VR_AML.03.01_C0040_02",$A:$I,9,0)&lt;&gt;"OK",CHAR(10)&amp;VLOOKUP("AMLA_VR_AML.03.01_C0040_02",$A:$I,9,0),"")&amp;IF(VLOOKUP("AMLA_VR_AML.03.01_C0040_03",$A:$I,9,0)&lt;&gt;"OK",CHAR(10)&amp;VLOOKUP("AMLA_VR_AML.03.01_C0040_03",$A:$I,9,0),""))=0,"OK",MID(IF(VLOOKUP("AMLA_VR_AML.03.01_C0040_01",$A:$I,9,0)&lt;&gt;"OK",CHAR(10)&amp;VLOOKUP("AMLA_VR_AML.03.01_C0040_01",$A:$I,9,0),"")&amp;IF(VLOOKUP("AMLA_VR_AML.03.01_C0040_02",$A:$I,9,0)&lt;&gt;"OK",CHAR(10)&amp;VLOOKUP("AMLA_VR_AML.03.01_C0040_02",$A:$I,9,0),"")&amp;IF(VLOOKUP("AMLA_VR_AML.03.01_C0040_03",$A:$I,9,0)&lt;&gt;"OK",CHAR(10)&amp;VLOOKUP("AMLA_VR_AML.03.01_C0040_03",$A:$I,9,0),""),2,3000))</f>
        <v>OK</v>
      </c>
      <c r="K111" s="160" t="s">
        <v>1775</v>
      </c>
    </row>
    <row r="112" spans="1:11">
      <c r="A112" s="159" t="str">
        <f>"AMLA_VR_" &amp; B112 &amp; "_" &amp; C112 &amp; "_" &amp; TEXT(COUNTIFS($B$2:B112, B112, $C$2:C112, C112), "00")</f>
        <v>AMLA_VR_AML.03.01_C0040_02</v>
      </c>
      <c r="B112" s="160" t="s">
        <v>152</v>
      </c>
      <c r="C112" s="160" t="s">
        <v>84</v>
      </c>
      <c r="D112" s="160" t="s">
        <v>1552</v>
      </c>
      <c r="E112" s="160" t="str" cm="1">
        <f t="array" aca="1" ref="E112" ca="1">IF(C112="", INDIRECT("'"&amp;B112&amp;"'!B3"), INDEX(INDIRECT("'"&amp;B112&amp;"'!5:5"), COLUMN(INDIRECT("'"&amp;B112&amp;"'!"&amp;D112))))</f>
        <v>Outgoing Transactions - Value</v>
      </c>
      <c r="F112" s="160" t="s">
        <v>1776</v>
      </c>
      <c r="G112" s="160" t="s">
        <v>1773</v>
      </c>
      <c r="H112" s="161" t="s">
        <v>1837</v>
      </c>
      <c r="I112" s="160" t="str">
        <f>IF(TRIM(SUBSTITUTE('AML.03.01'!$E$11&amp;"",CHAR(160),""))="","OK",IF(NOT(ISNUMBER('AML.03.01'!$E$11)),$G112&amp;": "&amp;$H112,"OK"))</f>
        <v>OK</v>
      </c>
      <c r="J112" s="160" t="str">
        <f>IF(LEN(IF(VLOOKUP("AMLA_VR_AML.03.01_C0040_01",$A:$I,9,0)&lt;&gt;"OK",CHAR(10)&amp;VLOOKUP("AMLA_VR_AML.03.01_C0040_01",$A:$I,9,0),"")&amp;IF(VLOOKUP("AMLA_VR_AML.03.01_C0040_02",$A:$I,9,0)&lt;&gt;"OK",CHAR(10)&amp;VLOOKUP("AMLA_VR_AML.03.01_C0040_02",$A:$I,9,0),"")&amp;IF(VLOOKUP("AMLA_VR_AML.03.01_C0040_03",$A:$I,9,0)&lt;&gt;"OK",CHAR(10)&amp;VLOOKUP("AMLA_VR_AML.03.01_C0040_03",$A:$I,9,0),""))=0,"OK",MID(IF(VLOOKUP("AMLA_VR_AML.03.01_C0040_01",$A:$I,9,0)&lt;&gt;"OK",CHAR(10)&amp;VLOOKUP("AMLA_VR_AML.03.01_C0040_01",$A:$I,9,0),"")&amp;IF(VLOOKUP("AMLA_VR_AML.03.01_C0040_02",$A:$I,9,0)&lt;&gt;"OK",CHAR(10)&amp;VLOOKUP("AMLA_VR_AML.03.01_C0040_02",$A:$I,9,0),"")&amp;IF(VLOOKUP("AMLA_VR_AML.03.01_C0040_03",$A:$I,9,0)&lt;&gt;"OK",CHAR(10)&amp;VLOOKUP("AMLA_VR_AML.03.01_C0040_03",$A:$I,9,0),""),2,3000))</f>
        <v>OK</v>
      </c>
      <c r="K112" s="160" t="s">
        <v>1775</v>
      </c>
    </row>
    <row r="113" spans="1:11">
      <c r="A113" s="159" t="str">
        <f>"AMLA_VR_" &amp; B113 &amp; "_" &amp; C113 &amp; "_" &amp; TEXT(COUNTIFS($B$2:B113, B113, $C$2:C113, C113), "00")</f>
        <v>AMLA_VR_AML.03.01_C0040_03</v>
      </c>
      <c r="B113" s="157" t="s">
        <v>152</v>
      </c>
      <c r="C113" s="157" t="s">
        <v>84</v>
      </c>
      <c r="D113" s="157" t="s">
        <v>1552</v>
      </c>
      <c r="E113" s="160" t="str" cm="1">
        <f t="array" aca="1" ref="E113" ca="1">IF(C113="", INDIRECT("'"&amp;B113&amp;"'!B3"), INDEX(INDIRECT("'"&amp;B113&amp;"'!5:5"), COLUMN(INDIRECT("'"&amp;B113&amp;"'!"&amp;D113))))</f>
        <v>Outgoing Transactions - Value</v>
      </c>
      <c r="F113" s="157" t="s">
        <v>1772</v>
      </c>
      <c r="G113" s="157" t="s">
        <v>1813</v>
      </c>
      <c r="H113" s="158" t="s">
        <v>1840</v>
      </c>
      <c r="I113" s="157" t="str">
        <f>IF(AND('AML.03.01'!$E$11=0, 'AML.03.01'!$F$11&gt;0), $G113 &amp; ": " &amp; $H113, "OK")</f>
        <v>OK</v>
      </c>
      <c r="J113" s="157" t="str">
        <f>IF(LEN(IF(VLOOKUP("AMLA_VR_AML.03.01_C0040_01",$A:$I,9,0)&lt;&gt;"OK",CHAR(10)&amp;VLOOKUP("AMLA_VR_AML.03.01_C0040_01",$A:$I,9,0),"")&amp;IF(VLOOKUP("AMLA_VR_AML.03.01_C0040_02",$A:$I,9,0)&lt;&gt;"OK",CHAR(10)&amp;VLOOKUP("AMLA_VR_AML.03.01_C0040_02",$A:$I,9,0),"")&amp;IF(VLOOKUP("AMLA_VR_AML.03.01_C0040_03",$A:$I,9,0)&lt;&gt;"OK",CHAR(10)&amp;VLOOKUP("AMLA_VR_AML.03.01_C0040_03",$A:$I,9,0),""))=0,"OK",MID(IF(VLOOKUP("AMLA_VR_AML.03.01_C0040_01",$A:$I,9,0)&lt;&gt;"OK",CHAR(10)&amp;VLOOKUP("AMLA_VR_AML.03.01_C0040_01",$A:$I,9,0),"")&amp;IF(VLOOKUP("AMLA_VR_AML.03.01_C0040_02",$A:$I,9,0)&lt;&gt;"OK",CHAR(10)&amp;VLOOKUP("AMLA_VR_AML.03.01_C0040_02",$A:$I,9,0),"")&amp;IF(VLOOKUP("AMLA_VR_AML.03.01_C0040_03",$A:$I,9,0)&lt;&gt;"OK",CHAR(10)&amp;VLOOKUP("AMLA_VR_AML.03.01_C0040_03",$A:$I,9,0),""),2,3000))</f>
        <v>OK</v>
      </c>
      <c r="K113" s="157" t="s">
        <v>1775</v>
      </c>
    </row>
    <row r="114" spans="1:11">
      <c r="A114" s="159" t="str">
        <f>"AMLA_VR_" &amp; B114 &amp; "_" &amp; C114 &amp; "_" &amp; TEXT(COUNTIFS($B$2:B114, B114, $C$2:C114, C114), "00")</f>
        <v>AMLA_VR_AML.03.01_C0050_01</v>
      </c>
      <c r="B114" s="160" t="s">
        <v>152</v>
      </c>
      <c r="C114" s="160" t="s">
        <v>85</v>
      </c>
      <c r="D114" s="160" t="s">
        <v>1553</v>
      </c>
      <c r="E114" s="160" t="str" cm="1">
        <f t="array" aca="1" ref="E114" ca="1">IF(C114="", INDIRECT("'"&amp;B114&amp;"'!B3"), INDEX(INDIRECT("'"&amp;B114&amp;"'!5:5"), COLUMN(INDIRECT("'"&amp;B114&amp;"'!"&amp;D114))))</f>
        <v>Outgoing Transactions - Number</v>
      </c>
      <c r="F114" s="160" t="s">
        <v>1772</v>
      </c>
      <c r="G114" s="160" t="s">
        <v>1773</v>
      </c>
      <c r="H114" s="161" t="s">
        <v>1822</v>
      </c>
      <c r="I114" s="160" t="str">
        <f>IF('AML.03.01'!$F$11&lt;0, $G114 &amp; ": " &amp; $H114, "OK")</f>
        <v>OK</v>
      </c>
      <c r="J114" s="160" t="str">
        <f>IF(LEN(IF(VLOOKUP("AMLA_VR_AML.03.01_C0050_01",$A:$I,9,0)&lt;&gt;"OK",CHAR(10)&amp;VLOOKUP("AMLA_VR_AML.03.01_C0050_01",$A:$I,9,0),"")&amp;IF(VLOOKUP("AMLA_VR_AML.03.01_C0050_02",$A:$I,9,0)&lt;&gt;"OK",CHAR(10)&amp;VLOOKUP("AMLA_VR_AML.03.01_C0050_02",$A:$I,9,0),"")&amp;IF(VLOOKUP("AMLA_VR_AML.03.01_C0050_03",$A:$I,9,0)&lt;&gt;"OK",CHAR(10)&amp;VLOOKUP("AMLA_VR_AML.03.01_C0050_03",$A:$I,9,0),""))=0,"OK",MID(IF(VLOOKUP("AMLA_VR_AML.03.01_C0050_01",$A:$I,9,0)&lt;&gt;"OK",CHAR(10)&amp;VLOOKUP("AMLA_VR_AML.03.01_C0050_01",$A:$I,9,0),"")&amp;IF(VLOOKUP("AMLA_VR_AML.03.01_C0050_02",$A:$I,9,0)&lt;&gt;"OK",CHAR(10)&amp;VLOOKUP("AMLA_VR_AML.03.01_C0050_02",$A:$I,9,0),"")&amp;IF(VLOOKUP("AMLA_VR_AML.03.01_C0050_03",$A:$I,9,0)&lt;&gt;"OK",CHAR(10)&amp;VLOOKUP("AMLA_VR_AML.03.01_C0050_03",$A:$I,9,0),""),2,3000))</f>
        <v>OK</v>
      </c>
      <c r="K114" s="160" t="s">
        <v>1775</v>
      </c>
    </row>
    <row r="115" spans="1:11">
      <c r="A115" s="159" t="str">
        <f>"AMLA_VR_" &amp; B115 &amp; "_" &amp; C115 &amp; "_" &amp; TEXT(COUNTIFS($B$2:B115, B115, $C$2:C115, C115), "00")</f>
        <v>AMLA_VR_AML.03.01_C0050_02</v>
      </c>
      <c r="B115" s="157" t="s">
        <v>152</v>
      </c>
      <c r="C115" s="157" t="s">
        <v>85</v>
      </c>
      <c r="D115" s="157" t="s">
        <v>1553</v>
      </c>
      <c r="E115" s="160" t="str" cm="1">
        <f t="array" aca="1" ref="E115" ca="1">IF(C115="", INDIRECT("'"&amp;B115&amp;"'!B3"), INDEX(INDIRECT("'"&amp;B115&amp;"'!5:5"), COLUMN(INDIRECT("'"&amp;B115&amp;"'!"&amp;D115))))</f>
        <v>Outgoing Transactions - Number</v>
      </c>
      <c r="F115" s="157" t="s">
        <v>1776</v>
      </c>
      <c r="G115" s="157" t="s">
        <v>1773</v>
      </c>
      <c r="H115" s="158" t="s">
        <v>1816</v>
      </c>
      <c r="I115" s="157" t="str">
        <f>IF(TRIM(SUBSTITUTE('AML.03.01'!$F$11&amp;"",CHAR(160),""))="","OK",IF(OR(NOT(ISNUMBER('AML.03.01'!$F$11)),IFERROR(INT('AML.03.01'!$F$11)&lt;&gt;'AML.03.01'!$F$11,TRUE)),$G115&amp;": "&amp;$H115,"OK"))</f>
        <v>OK</v>
      </c>
      <c r="J115" s="157" t="str">
        <f>IF(LEN(IF(VLOOKUP("AMLA_VR_AML.03.01_C0050_01",$A:$I,9,0)&lt;&gt;"OK",CHAR(10)&amp;VLOOKUP("AMLA_VR_AML.03.01_C0050_01",$A:$I,9,0),"")&amp;IF(VLOOKUP("AMLA_VR_AML.03.01_C0050_02",$A:$I,9,0)&lt;&gt;"OK",CHAR(10)&amp;VLOOKUP("AMLA_VR_AML.03.01_C0050_02",$A:$I,9,0),"")&amp;IF(VLOOKUP("AMLA_VR_AML.03.01_C0050_03",$A:$I,9,0)&lt;&gt;"OK",CHAR(10)&amp;VLOOKUP("AMLA_VR_AML.03.01_C0050_03",$A:$I,9,0),""))=0,"OK",MID(IF(VLOOKUP("AMLA_VR_AML.03.01_C0050_01",$A:$I,9,0)&lt;&gt;"OK",CHAR(10)&amp;VLOOKUP("AMLA_VR_AML.03.01_C0050_01",$A:$I,9,0),"")&amp;IF(VLOOKUP("AMLA_VR_AML.03.01_C0050_02",$A:$I,9,0)&lt;&gt;"OK",CHAR(10)&amp;VLOOKUP("AMLA_VR_AML.03.01_C0050_02",$A:$I,9,0),"")&amp;IF(VLOOKUP("AMLA_VR_AML.03.01_C0050_03",$A:$I,9,0)&lt;&gt;"OK",CHAR(10)&amp;VLOOKUP("AMLA_VR_AML.03.01_C0050_03",$A:$I,9,0),""),2,3000))</f>
        <v>OK</v>
      </c>
      <c r="K115" s="157" t="s">
        <v>1775</v>
      </c>
    </row>
    <row r="116" spans="1:11">
      <c r="A116" s="159" t="str">
        <f>"AMLA_VR_" &amp; B116 &amp; "_" &amp; C116 &amp; "_" &amp; TEXT(COUNTIFS($B$2:B116, B116, $C$2:C116, C116), "00")</f>
        <v>AMLA_VR_AML.03.01_C0050_03</v>
      </c>
      <c r="B116" s="157" t="s">
        <v>152</v>
      </c>
      <c r="C116" s="157" t="s">
        <v>85</v>
      </c>
      <c r="D116" s="157" t="s">
        <v>1553</v>
      </c>
      <c r="E116" s="160" t="str" cm="1">
        <f t="array" aca="1" ref="E116" ca="1">IF(C116="", INDIRECT("'"&amp;B116&amp;"'!B3"), INDEX(INDIRECT("'"&amp;B116&amp;"'!5:5"), COLUMN(INDIRECT("'"&amp;B116&amp;"'!"&amp;D116))))</f>
        <v>Outgoing Transactions - Number</v>
      </c>
      <c r="F116" s="157" t="s">
        <v>1772</v>
      </c>
      <c r="G116" s="157" t="s">
        <v>1813</v>
      </c>
      <c r="H116" s="158" t="s">
        <v>1841</v>
      </c>
      <c r="I116" s="157" t="str">
        <f>IF(AND('AML.03.01'!$F$11=0, 'AML.03.01'!$E$11&gt;0), $G116 &amp; ": " &amp; $H116, "OK")</f>
        <v>OK</v>
      </c>
      <c r="J116" s="157" t="str">
        <f>IF(LEN(IF(VLOOKUP("AMLA_VR_AML.03.01_C0050_01",$A:$I,9,0)&lt;&gt;"OK",CHAR(10)&amp;VLOOKUP("AMLA_VR_AML.03.01_C0050_01",$A:$I,9,0),"")&amp;IF(VLOOKUP("AMLA_VR_AML.03.01_C0050_02",$A:$I,9,0)&lt;&gt;"OK",CHAR(10)&amp;VLOOKUP("AMLA_VR_AML.03.01_C0050_02",$A:$I,9,0),"")&amp;IF(VLOOKUP("AMLA_VR_AML.03.01_C0050_03",$A:$I,9,0)&lt;&gt;"OK",CHAR(10)&amp;VLOOKUP("AMLA_VR_AML.03.01_C0050_03",$A:$I,9,0),""))=0,"OK",MID(IF(VLOOKUP("AMLA_VR_AML.03.01_C0050_01",$A:$I,9,0)&lt;&gt;"OK",CHAR(10)&amp;VLOOKUP("AMLA_VR_AML.03.01_C0050_01",$A:$I,9,0),"")&amp;IF(VLOOKUP("AMLA_VR_AML.03.01_C0050_02",$A:$I,9,0)&lt;&gt;"OK",CHAR(10)&amp;VLOOKUP("AMLA_VR_AML.03.01_C0050_02",$A:$I,9,0),"")&amp;IF(VLOOKUP("AMLA_VR_AML.03.01_C0050_03",$A:$I,9,0)&lt;&gt;"OK",CHAR(10)&amp;VLOOKUP("AMLA_VR_AML.03.01_C0050_03",$A:$I,9,0),""),2,3000))</f>
        <v>OK</v>
      </c>
      <c r="K116" s="157" t="s">
        <v>1775</v>
      </c>
    </row>
    <row r="117" spans="1:11">
      <c r="A117" s="159" t="str">
        <f>"AMLA_VR_" &amp; B117 &amp; "_" &amp; C117 &amp; "_" &amp; TEXT(COUNTIFS($B$2:B117, B117, $C$2:C117, C117), "00")</f>
        <v>AMLA_VR_AML.03.02_C0010_01</v>
      </c>
      <c r="B117" s="160" t="s">
        <v>159</v>
      </c>
      <c r="C117" s="160" t="s">
        <v>81</v>
      </c>
      <c r="D117" s="160" t="s">
        <v>1549</v>
      </c>
      <c r="E117" s="160" t="str" cm="1">
        <f t="array" aca="1" ref="E117" ca="1">IF(C117="", INDIRECT("'"&amp;B117&amp;"'!B3"), INDEX(INDIRECT("'"&amp;B117&amp;"'!5:5"), COLUMN(INDIRECT("'"&amp;B117&amp;"'!"&amp;D117))))</f>
        <v>Master Accounts with Linked Virtual IBANs</v>
      </c>
      <c r="F117" s="160" t="s">
        <v>1772</v>
      </c>
      <c r="G117" s="160" t="s">
        <v>1773</v>
      </c>
      <c r="H117" s="161" t="s">
        <v>1815</v>
      </c>
      <c r="I117" s="160" t="str">
        <f>IF('AML.03.02'!$B$11&lt;0, $G117 &amp; ": " &amp; $H117, "OK")</f>
        <v>OK</v>
      </c>
      <c r="J117" s="160" t="str">
        <f>IF(LEN(IF(VLOOKUP("AMLA_VR_AML.03.02_C0010_01",$A:$I,9,0)&lt;&gt;"OK",CHAR(10)&amp;VLOOKUP("AMLA_VR_AML.03.02_C0010_01",$A:$I,9,0),"")&amp;IF(VLOOKUP("AMLA_VR_AML.03.02_C0010_02",$A:$I,9,0)&lt;&gt;"OK",CHAR(10)&amp;VLOOKUP("AMLA_VR_AML.03.02_C0010_02",$A:$I,9,0),""))=0,"OK",MID(IF(VLOOKUP("AMLA_VR_AML.03.02_C0010_01",$A:$I,9,0)&lt;&gt;"OK",CHAR(10)&amp;VLOOKUP("AMLA_VR_AML.03.02_C0010_01",$A:$I,9,0),"")&amp;IF(VLOOKUP("AMLA_VR_AML.03.02_C0010_02",$A:$I,9,0)&lt;&gt;"OK",CHAR(10)&amp;VLOOKUP("AMLA_VR_AML.03.02_C0010_02",$A:$I,9,0),""),2,3000))</f>
        <v>OK</v>
      </c>
      <c r="K117" s="160" t="s">
        <v>1775</v>
      </c>
    </row>
    <row r="118" spans="1:11">
      <c r="A118" s="159" t="str">
        <f>"AMLA_VR_" &amp; B118 &amp; "_" &amp; C118 &amp; "_" &amp; TEXT(COUNTIFS($B$2:B118, B118, $C$2:C118, C118), "00")</f>
        <v>AMLA_VR_AML.03.02_C0010_02</v>
      </c>
      <c r="B118" s="160" t="s">
        <v>159</v>
      </c>
      <c r="C118" s="160" t="s">
        <v>81</v>
      </c>
      <c r="D118" s="160" t="s">
        <v>1549</v>
      </c>
      <c r="E118" s="160" t="str" cm="1">
        <f t="array" aca="1" ref="E118" ca="1">IF(C118="", INDIRECT("'"&amp;B118&amp;"'!B3"), INDEX(INDIRECT("'"&amp;B118&amp;"'!5:5"), COLUMN(INDIRECT("'"&amp;B118&amp;"'!"&amp;D118))))</f>
        <v>Master Accounts with Linked Virtual IBANs</v>
      </c>
      <c r="F118" s="160" t="s">
        <v>1776</v>
      </c>
      <c r="G118" s="160" t="s">
        <v>1773</v>
      </c>
      <c r="H118" s="161" t="s">
        <v>1816</v>
      </c>
      <c r="I118" s="160" t="str">
        <f>IF(TRIM(SUBSTITUTE('AML.03.02'!$B$11&amp;"",CHAR(160),""))="","OK",IF(OR(NOT(ISNUMBER('AML.03.02'!$B$11)),IFERROR(INT('AML.03.02'!$B$11)&lt;&gt;'AML.03.02'!$B$11,TRUE)),$G118&amp;": "&amp;$H118,"OK"))</f>
        <v>OK</v>
      </c>
      <c r="J118" s="160" t="str">
        <f>IF(LEN(IF(VLOOKUP("AMLA_VR_AML.03.02_C0010_01",$A:$I,9,0)&lt;&gt;"OK",CHAR(10)&amp;VLOOKUP("AMLA_VR_AML.03.02_C0010_01",$A:$I,9,0),"")&amp;IF(VLOOKUP("AMLA_VR_AML.03.02_C0010_02",$A:$I,9,0)&lt;&gt;"OK",CHAR(10)&amp;VLOOKUP("AMLA_VR_AML.03.02_C0010_02",$A:$I,9,0),""))=0,"OK",MID(IF(VLOOKUP("AMLA_VR_AML.03.02_C0010_01",$A:$I,9,0)&lt;&gt;"OK",CHAR(10)&amp;VLOOKUP("AMLA_VR_AML.03.02_C0010_01",$A:$I,9,0),"")&amp;IF(VLOOKUP("AMLA_VR_AML.03.02_C0010_02",$A:$I,9,0)&lt;&gt;"OK",CHAR(10)&amp;VLOOKUP("AMLA_VR_AML.03.02_C0010_02",$A:$I,9,0),""),2,3000))</f>
        <v>OK</v>
      </c>
      <c r="K118" s="160" t="s">
        <v>1775</v>
      </c>
    </row>
    <row r="119" spans="1:11">
      <c r="A119" s="159" t="str">
        <f>"AMLA_VR_" &amp; B119 &amp; "_" &amp; C119 &amp; "_" &amp; TEXT(COUNTIFS($B$2:B119, B119, $C$2:C119, C119), "00")</f>
        <v>AMLA_VR_AML.03.02_C0020_01</v>
      </c>
      <c r="B119" s="157" t="s">
        <v>159</v>
      </c>
      <c r="C119" s="157" t="s">
        <v>82</v>
      </c>
      <c r="D119" s="157" t="s">
        <v>1550</v>
      </c>
      <c r="E119" s="160" t="str" cm="1">
        <f t="array" aca="1" ref="E119" ca="1">IF(C119="", INDIRECT("'"&amp;B119&amp;"'!B3"), INDEX(INDIRECT("'"&amp;B119&amp;"'!5:5"), COLUMN(INDIRECT("'"&amp;B119&amp;"'!"&amp;D119))))</f>
        <v>Transactions on vIBANs (Incoming) - Number</v>
      </c>
      <c r="F119" s="157" t="s">
        <v>1772</v>
      </c>
      <c r="G119" s="157" t="s">
        <v>1773</v>
      </c>
      <c r="H119" s="158" t="s">
        <v>1819</v>
      </c>
      <c r="I119" s="157" t="str">
        <f>IF('AML.03.02'!$C$11&lt;0, $G119 &amp; ": " &amp; $H119, "OK")</f>
        <v>OK</v>
      </c>
      <c r="J119" s="157" t="str">
        <f>IF(LEN(IF(VLOOKUP("AMLA_VR_AML.03.02_C0020_01",$A:$I,9,0)&lt;&gt;"OK",CHAR(10)&amp;VLOOKUP("AMLA_VR_AML.03.02_C0020_01",$A:$I,9,0),"")&amp;IF(VLOOKUP("AMLA_VR_AML.03.02_C0020_02",$A:$I,9,0)&lt;&gt;"OK",CHAR(10)&amp;VLOOKUP("AMLA_VR_AML.03.02_C0020_02",$A:$I,9,0),"")&amp;IF(VLOOKUP("AMLA_VR_AML.03.02_C0020_03",$A:$I,9,0)&lt;&gt;"OK",CHAR(10)&amp;VLOOKUP("AMLA_VR_AML.03.02_C0020_03",$A:$I,9,0),""))=0,"OK",MID(IF(VLOOKUP("AMLA_VR_AML.03.02_C0020_01",$A:$I,9,0)&lt;&gt;"OK",CHAR(10)&amp;VLOOKUP("AMLA_VR_AML.03.02_C0020_01",$A:$I,9,0),"")&amp;IF(VLOOKUP("AMLA_VR_AML.03.02_C0020_02",$A:$I,9,0)&lt;&gt;"OK",CHAR(10)&amp;VLOOKUP("AMLA_VR_AML.03.02_C0020_02",$A:$I,9,0),"")&amp;IF(VLOOKUP("AMLA_VR_AML.03.02_C0020_03",$A:$I,9,0)&lt;&gt;"OK",CHAR(10)&amp;VLOOKUP("AMLA_VR_AML.03.02_C0020_03",$A:$I,9,0),""),2,3000))</f>
        <v>OK</v>
      </c>
      <c r="K119" s="157" t="s">
        <v>1775</v>
      </c>
    </row>
    <row r="120" spans="1:11">
      <c r="A120" s="159" t="str">
        <f>"AMLA_VR_" &amp; B120 &amp; "_" &amp; C120 &amp; "_" &amp; TEXT(COUNTIFS($B$2:B120, B120, $C$2:C120, C120), "00")</f>
        <v>AMLA_VR_AML.03.02_C0020_02</v>
      </c>
      <c r="B120" s="157" t="s">
        <v>159</v>
      </c>
      <c r="C120" s="157" t="s">
        <v>82</v>
      </c>
      <c r="D120" s="157" t="s">
        <v>1550</v>
      </c>
      <c r="E120" s="160" t="str" cm="1">
        <f t="array" aca="1" ref="E120" ca="1">IF(C120="", INDIRECT("'"&amp;B120&amp;"'!B3"), INDEX(INDIRECT("'"&amp;B120&amp;"'!5:5"), COLUMN(INDIRECT("'"&amp;B120&amp;"'!"&amp;D120))))</f>
        <v>Transactions on vIBANs (Incoming) - Number</v>
      </c>
      <c r="F120" s="157" t="s">
        <v>1776</v>
      </c>
      <c r="G120" s="157" t="s">
        <v>1773</v>
      </c>
      <c r="H120" s="158" t="s">
        <v>1816</v>
      </c>
      <c r="I120" s="157" t="str">
        <f>IF(TRIM(SUBSTITUTE('AML.03.02'!$C$11&amp;"",CHAR(160),""))="","OK",IF(OR(NOT(ISNUMBER('AML.03.02'!$C$11)),IFERROR(INT('AML.03.02'!$C$11)&lt;&gt;'AML.03.02'!$C$11,TRUE)),$G120&amp;": "&amp;$H120,"OK"))</f>
        <v>OK</v>
      </c>
      <c r="J120" s="157" t="str">
        <f>IF(LEN(IF(VLOOKUP("AMLA_VR_AML.03.02_C0020_01",$A:$I,9,0)&lt;&gt;"OK",CHAR(10)&amp;VLOOKUP("AMLA_VR_AML.03.02_C0020_01",$A:$I,9,0),"")&amp;IF(VLOOKUP("AMLA_VR_AML.03.02_C0020_02",$A:$I,9,0)&lt;&gt;"OK",CHAR(10)&amp;VLOOKUP("AMLA_VR_AML.03.02_C0020_02",$A:$I,9,0),"")&amp;IF(VLOOKUP("AMLA_VR_AML.03.02_C0020_03",$A:$I,9,0)&lt;&gt;"OK",CHAR(10)&amp;VLOOKUP("AMLA_VR_AML.03.02_C0020_03",$A:$I,9,0),""))=0,"OK",MID(IF(VLOOKUP("AMLA_VR_AML.03.02_C0020_01",$A:$I,9,0)&lt;&gt;"OK",CHAR(10)&amp;VLOOKUP("AMLA_VR_AML.03.02_C0020_01",$A:$I,9,0),"")&amp;IF(VLOOKUP("AMLA_VR_AML.03.02_C0020_02",$A:$I,9,0)&lt;&gt;"OK",CHAR(10)&amp;VLOOKUP("AMLA_VR_AML.03.02_C0020_02",$A:$I,9,0),"")&amp;IF(VLOOKUP("AMLA_VR_AML.03.02_C0020_03",$A:$I,9,0)&lt;&gt;"OK",CHAR(10)&amp;VLOOKUP("AMLA_VR_AML.03.02_C0020_03",$A:$I,9,0),""),2,3000))</f>
        <v>OK</v>
      </c>
      <c r="K120" s="157" t="s">
        <v>1775</v>
      </c>
    </row>
    <row r="121" spans="1:11">
      <c r="A121" s="159" t="str">
        <f>"AMLA_VR_" &amp; B121 &amp; "_" &amp; C121 &amp; "_" &amp; TEXT(COUNTIFS($B$2:B121, B121, $C$2:C121, C121), "00")</f>
        <v>AMLA_VR_AML.03.02_C0020_03</v>
      </c>
      <c r="B121" s="160" t="s">
        <v>159</v>
      </c>
      <c r="C121" s="160" t="s">
        <v>82</v>
      </c>
      <c r="D121" s="160" t="s">
        <v>1550</v>
      </c>
      <c r="E121" s="160" t="str" cm="1">
        <f t="array" aca="1" ref="E121" ca="1">IF(C121="", INDIRECT("'"&amp;B121&amp;"'!B3"), INDEX(INDIRECT("'"&amp;B121&amp;"'!5:5"), COLUMN(INDIRECT("'"&amp;B121&amp;"'!"&amp;D121))))</f>
        <v>Transactions on vIBANs (Incoming) - Number</v>
      </c>
      <c r="F121" s="160" t="s">
        <v>1772</v>
      </c>
      <c r="G121" s="160" t="s">
        <v>1813</v>
      </c>
      <c r="H121" s="161" t="s">
        <v>1838</v>
      </c>
      <c r="I121" s="160" t="str">
        <f>IF(AND('AML.03.02'!$C$11=0, 'AML.03.02'!$D$11&gt;0), $G121 &amp; ": " &amp; $H121, "OK")</f>
        <v>OK</v>
      </c>
      <c r="J121" s="160" t="str">
        <f>IF(LEN(IF(VLOOKUP("AMLA_VR_AML.03.02_C0020_01",$A:$I,9,0)&lt;&gt;"OK",CHAR(10)&amp;VLOOKUP("AMLA_VR_AML.03.02_C0020_01",$A:$I,9,0),"")&amp;IF(VLOOKUP("AMLA_VR_AML.03.02_C0020_02",$A:$I,9,0)&lt;&gt;"OK",CHAR(10)&amp;VLOOKUP("AMLA_VR_AML.03.02_C0020_02",$A:$I,9,0),"")&amp;IF(VLOOKUP("AMLA_VR_AML.03.02_C0020_03",$A:$I,9,0)&lt;&gt;"OK",CHAR(10)&amp;VLOOKUP("AMLA_VR_AML.03.02_C0020_03",$A:$I,9,0),""))=0,"OK",MID(IF(VLOOKUP("AMLA_VR_AML.03.02_C0020_01",$A:$I,9,0)&lt;&gt;"OK",CHAR(10)&amp;VLOOKUP("AMLA_VR_AML.03.02_C0020_01",$A:$I,9,0),"")&amp;IF(VLOOKUP("AMLA_VR_AML.03.02_C0020_02",$A:$I,9,0)&lt;&gt;"OK",CHAR(10)&amp;VLOOKUP("AMLA_VR_AML.03.02_C0020_02",$A:$I,9,0),"")&amp;IF(VLOOKUP("AMLA_VR_AML.03.02_C0020_03",$A:$I,9,0)&lt;&gt;"OK",CHAR(10)&amp;VLOOKUP("AMLA_VR_AML.03.02_C0020_03",$A:$I,9,0),""),2,3000))</f>
        <v>OK</v>
      </c>
      <c r="K121" s="160" t="s">
        <v>1775</v>
      </c>
    </row>
    <row r="122" spans="1:11">
      <c r="A122" s="159" t="str">
        <f>"AMLA_VR_" &amp; B122 &amp; "_" &amp; C122 &amp; "_" &amp; TEXT(COUNTIFS($B$2:B122, B122, $C$2:C122, C122), "00")</f>
        <v>AMLA_VR_AML.03.02_C0030_01</v>
      </c>
      <c r="B122" s="157" t="s">
        <v>159</v>
      </c>
      <c r="C122" s="157" t="s">
        <v>83</v>
      </c>
      <c r="D122" s="157" t="s">
        <v>1551</v>
      </c>
      <c r="E122" s="160" t="str" cm="1">
        <f t="array" aca="1" ref="E122" ca="1">IF(C122="", INDIRECT("'"&amp;B122&amp;"'!B3"), INDEX(INDIRECT("'"&amp;B122&amp;"'!5:5"), COLUMN(INDIRECT("'"&amp;B122&amp;"'!"&amp;D122))))</f>
        <v>Transactions on vIBANs (Incoming) - Value</v>
      </c>
      <c r="F122" s="157" t="s">
        <v>1772</v>
      </c>
      <c r="G122" s="157" t="s">
        <v>1773</v>
      </c>
      <c r="H122" s="158" t="s">
        <v>1820</v>
      </c>
      <c r="I122" s="157" t="str">
        <f>IF('AML.03.02'!$D$11&lt;0, $G122 &amp; ": " &amp; $H122, "OK")</f>
        <v>OK</v>
      </c>
      <c r="J122" s="157" t="str">
        <f>IF(LEN(IF(VLOOKUP("AMLA_VR_AML.03.02_C0030_01",$A:$I,9,0)&lt;&gt;"OK",CHAR(10)&amp;VLOOKUP("AMLA_VR_AML.03.02_C0030_01",$A:$I,9,0),"")&amp;IF(VLOOKUP("AMLA_VR_AML.03.02_C0030_02",$A:$I,9,0)&lt;&gt;"OK",CHAR(10)&amp;VLOOKUP("AMLA_VR_AML.03.02_C0030_02",$A:$I,9,0),"")&amp;IF(VLOOKUP("AMLA_VR_AML.03.02_C0030_03",$A:$I,9,0)&lt;&gt;"OK",CHAR(10)&amp;VLOOKUP("AMLA_VR_AML.03.02_C0030_03",$A:$I,9,0),""))=0,"OK",MID(IF(VLOOKUP("AMLA_VR_AML.03.02_C0030_01",$A:$I,9,0)&lt;&gt;"OK",CHAR(10)&amp;VLOOKUP("AMLA_VR_AML.03.02_C0030_01",$A:$I,9,0),"")&amp;IF(VLOOKUP("AMLA_VR_AML.03.02_C0030_02",$A:$I,9,0)&lt;&gt;"OK",CHAR(10)&amp;VLOOKUP("AMLA_VR_AML.03.02_C0030_02",$A:$I,9,0),"")&amp;IF(VLOOKUP("AMLA_VR_AML.03.02_C0030_03",$A:$I,9,0)&lt;&gt;"OK",CHAR(10)&amp;VLOOKUP("AMLA_VR_AML.03.02_C0030_03",$A:$I,9,0),""),2,3000))</f>
        <v>OK</v>
      </c>
      <c r="K122" s="157" t="s">
        <v>1775</v>
      </c>
    </row>
    <row r="123" spans="1:11">
      <c r="A123" s="159" t="str">
        <f>"AMLA_VR_" &amp; B123 &amp; "_" &amp; C123 &amp; "_" &amp; TEXT(COUNTIFS($B$2:B123, B123, $C$2:C123, C123), "00")</f>
        <v>AMLA_VR_AML.03.02_C0030_02</v>
      </c>
      <c r="B123" s="160" t="s">
        <v>159</v>
      </c>
      <c r="C123" s="160" t="s">
        <v>83</v>
      </c>
      <c r="D123" s="160" t="s">
        <v>1551</v>
      </c>
      <c r="E123" s="160" t="str" cm="1">
        <f t="array" aca="1" ref="E123" ca="1">IF(C123="", INDIRECT("'"&amp;B123&amp;"'!B3"), INDEX(INDIRECT("'"&amp;B123&amp;"'!5:5"), COLUMN(INDIRECT("'"&amp;B123&amp;"'!"&amp;D123))))</f>
        <v>Transactions on vIBANs (Incoming) - Value</v>
      </c>
      <c r="F123" s="160" t="s">
        <v>1776</v>
      </c>
      <c r="G123" s="160" t="s">
        <v>1773</v>
      </c>
      <c r="H123" s="161" t="s">
        <v>1837</v>
      </c>
      <c r="I123" s="160" t="str">
        <f>IF(TRIM(SUBSTITUTE('AML.03.02'!$D$11&amp;"",CHAR(160),""))="","OK",IF(NOT(ISNUMBER('AML.03.02'!$D$11)),$G123&amp;": "&amp;$H123,"OK"))</f>
        <v>OK</v>
      </c>
      <c r="J123" s="160" t="str">
        <f>IF(LEN(IF(VLOOKUP("AMLA_VR_AML.03.02_C0030_01",$A:$I,9,0)&lt;&gt;"OK",CHAR(10)&amp;VLOOKUP("AMLA_VR_AML.03.02_C0030_01",$A:$I,9,0),"")&amp;IF(VLOOKUP("AMLA_VR_AML.03.02_C0030_02",$A:$I,9,0)&lt;&gt;"OK",CHAR(10)&amp;VLOOKUP("AMLA_VR_AML.03.02_C0030_02",$A:$I,9,0),"")&amp;IF(VLOOKUP("AMLA_VR_AML.03.02_C0030_03",$A:$I,9,0)&lt;&gt;"OK",CHAR(10)&amp;VLOOKUP("AMLA_VR_AML.03.02_C0030_03",$A:$I,9,0),""))=0,"OK",MID(IF(VLOOKUP("AMLA_VR_AML.03.02_C0030_01",$A:$I,9,0)&lt;&gt;"OK",CHAR(10)&amp;VLOOKUP("AMLA_VR_AML.03.02_C0030_01",$A:$I,9,0),"")&amp;IF(VLOOKUP("AMLA_VR_AML.03.02_C0030_02",$A:$I,9,0)&lt;&gt;"OK",CHAR(10)&amp;VLOOKUP("AMLA_VR_AML.03.02_C0030_02",$A:$I,9,0),"")&amp;IF(VLOOKUP("AMLA_VR_AML.03.02_C0030_03",$A:$I,9,0)&lt;&gt;"OK",CHAR(10)&amp;VLOOKUP("AMLA_VR_AML.03.02_C0030_03",$A:$I,9,0),""),2,3000))</f>
        <v>OK</v>
      </c>
      <c r="K123" s="160" t="s">
        <v>1775</v>
      </c>
    </row>
    <row r="124" spans="1:11">
      <c r="A124" s="159" t="str">
        <f>"AMLA_VR_" &amp; B124 &amp; "_" &amp; C124 &amp; "_" &amp; TEXT(COUNTIFS($B$2:B124, B124, $C$2:C124, C124), "00")</f>
        <v>AMLA_VR_AML.03.02_C0030_03</v>
      </c>
      <c r="B124" s="160" t="s">
        <v>159</v>
      </c>
      <c r="C124" s="160" t="s">
        <v>83</v>
      </c>
      <c r="D124" s="160" t="s">
        <v>1551</v>
      </c>
      <c r="E124" s="160" t="str" cm="1">
        <f t="array" aca="1" ref="E124" ca="1">IF(C124="", INDIRECT("'"&amp;B124&amp;"'!B3"), INDEX(INDIRECT("'"&amp;B124&amp;"'!5:5"), COLUMN(INDIRECT("'"&amp;B124&amp;"'!"&amp;D124))))</f>
        <v>Transactions on vIBANs (Incoming) - Value</v>
      </c>
      <c r="F124" s="160" t="s">
        <v>1772</v>
      </c>
      <c r="G124" s="160" t="s">
        <v>1813</v>
      </c>
      <c r="H124" s="161" t="s">
        <v>1839</v>
      </c>
      <c r="I124" s="160" t="str">
        <f>IF(AND('AML.03.02'!$D$11=0, 'AML.03.02'!$C$11&gt;0), $G124 &amp; ": " &amp; $H124, "OK")</f>
        <v>OK</v>
      </c>
      <c r="J124" s="160" t="str">
        <f>IF(LEN(IF(VLOOKUP("AMLA_VR_AML.03.02_C0030_01",$A:$I,9,0)&lt;&gt;"OK",CHAR(10)&amp;VLOOKUP("AMLA_VR_AML.03.02_C0030_01",$A:$I,9,0),"")&amp;IF(VLOOKUP("AMLA_VR_AML.03.02_C0030_02",$A:$I,9,0)&lt;&gt;"OK",CHAR(10)&amp;VLOOKUP("AMLA_VR_AML.03.02_C0030_02",$A:$I,9,0),"")&amp;IF(VLOOKUP("AMLA_VR_AML.03.02_C0030_03",$A:$I,9,0)&lt;&gt;"OK",CHAR(10)&amp;VLOOKUP("AMLA_VR_AML.03.02_C0030_03",$A:$I,9,0),""))=0,"OK",MID(IF(VLOOKUP("AMLA_VR_AML.03.02_C0030_01",$A:$I,9,0)&lt;&gt;"OK",CHAR(10)&amp;VLOOKUP("AMLA_VR_AML.03.02_C0030_01",$A:$I,9,0),"")&amp;IF(VLOOKUP("AMLA_VR_AML.03.02_C0030_02",$A:$I,9,0)&lt;&gt;"OK",CHAR(10)&amp;VLOOKUP("AMLA_VR_AML.03.02_C0030_02",$A:$I,9,0),"")&amp;IF(VLOOKUP("AMLA_VR_AML.03.02_C0030_03",$A:$I,9,0)&lt;&gt;"OK",CHAR(10)&amp;VLOOKUP("AMLA_VR_AML.03.02_C0030_03",$A:$I,9,0),""),2,3000))</f>
        <v>OK</v>
      </c>
      <c r="K124" s="160" t="s">
        <v>1775</v>
      </c>
    </row>
    <row r="125" spans="1:11">
      <c r="A125" s="159" t="str">
        <f>"AMLA_VR_" &amp; B125 &amp; "_" &amp; C125 &amp; "_" &amp; TEXT(COUNTIFS($B$2:B125, B125, $C$2:C125, C125), "00")</f>
        <v>AMLA_VR_AML.03.02_C0040_01</v>
      </c>
      <c r="B125" s="157" t="s">
        <v>159</v>
      </c>
      <c r="C125" s="157" t="s">
        <v>84</v>
      </c>
      <c r="D125" s="157" t="s">
        <v>1552</v>
      </c>
      <c r="E125" s="160" t="str" cm="1">
        <f t="array" aca="1" ref="E125" ca="1">IF(C125="", INDIRECT("'"&amp;B125&amp;"'!B3"), INDEX(INDIRECT("'"&amp;B125&amp;"'!5:5"), COLUMN(INDIRECT("'"&amp;B125&amp;"'!"&amp;D125))))</f>
        <v>Transactions on vIBANs (Outgoing) - Number</v>
      </c>
      <c r="F125" s="157" t="s">
        <v>1772</v>
      </c>
      <c r="G125" s="157" t="s">
        <v>1773</v>
      </c>
      <c r="H125" s="158" t="s">
        <v>1821</v>
      </c>
      <c r="I125" s="157" t="str">
        <f>IF('AML.03.02'!$E$11&lt;0, $G125 &amp; ": " &amp; $H125, "OK")</f>
        <v>OK</v>
      </c>
      <c r="J125" s="157" t="str">
        <f>IF(LEN(IF(VLOOKUP("AMLA_VR_AML.03.02_C0040_01",$A:$I,9,0)&lt;&gt;"OK",CHAR(10)&amp;VLOOKUP("AMLA_VR_AML.03.02_C0040_01",$A:$I,9,0),"")&amp;IF(VLOOKUP("AMLA_VR_AML.03.02_C0040_02",$A:$I,9,0)&lt;&gt;"OK",CHAR(10)&amp;VLOOKUP("AMLA_VR_AML.03.02_C0040_02",$A:$I,9,0),"")&amp;IF(VLOOKUP("AMLA_VR_AML.03.02_C0040_03",$A:$I,9,0)&lt;&gt;"OK",CHAR(10)&amp;VLOOKUP("AMLA_VR_AML.03.02_C0040_03",$A:$I,9,0),""))=0,"OK",MID(IF(VLOOKUP("AMLA_VR_AML.03.02_C0040_01",$A:$I,9,0)&lt;&gt;"OK",CHAR(10)&amp;VLOOKUP("AMLA_VR_AML.03.02_C0040_01",$A:$I,9,0),"")&amp;IF(VLOOKUP("AMLA_VR_AML.03.02_C0040_02",$A:$I,9,0)&lt;&gt;"OK",CHAR(10)&amp;VLOOKUP("AMLA_VR_AML.03.02_C0040_02",$A:$I,9,0),"")&amp;IF(VLOOKUP("AMLA_VR_AML.03.02_C0040_03",$A:$I,9,0)&lt;&gt;"OK",CHAR(10)&amp;VLOOKUP("AMLA_VR_AML.03.02_C0040_03",$A:$I,9,0),""),2,3000))</f>
        <v>OK</v>
      </c>
      <c r="K125" s="157" t="s">
        <v>1775</v>
      </c>
    </row>
    <row r="126" spans="1:11">
      <c r="A126" s="159" t="str">
        <f>"AMLA_VR_" &amp; B126 &amp; "_" &amp; C126 &amp; "_" &amp; TEXT(COUNTIFS($B$2:B126, B126, $C$2:C126, C126), "00")</f>
        <v>AMLA_VR_AML.03.02_C0040_02</v>
      </c>
      <c r="B126" s="157" t="s">
        <v>159</v>
      </c>
      <c r="C126" s="157" t="s">
        <v>84</v>
      </c>
      <c r="D126" s="157" t="s">
        <v>1552</v>
      </c>
      <c r="E126" s="160" t="str" cm="1">
        <f t="array" aca="1" ref="E126" ca="1">IF(C126="", INDIRECT("'"&amp;B126&amp;"'!B3"), INDEX(INDIRECT("'"&amp;B126&amp;"'!5:5"), COLUMN(INDIRECT("'"&amp;B126&amp;"'!"&amp;D126))))</f>
        <v>Transactions on vIBANs (Outgoing) - Number</v>
      </c>
      <c r="F126" s="157" t="s">
        <v>1776</v>
      </c>
      <c r="G126" s="157" t="s">
        <v>1773</v>
      </c>
      <c r="H126" s="158" t="s">
        <v>1816</v>
      </c>
      <c r="I126" s="157" t="str">
        <f>IF(TRIM(SUBSTITUTE('AML.03.02'!$E$11&amp;"",CHAR(160),""))="","OK",IF(OR(NOT(ISNUMBER('AML.03.02'!$E$11)),IFERROR(INT('AML.03.02'!$E$11)&lt;&gt;'AML.03.02'!$E$11,TRUE)),$G126&amp;": "&amp;$H126,"OK"))</f>
        <v>OK</v>
      </c>
      <c r="J126" s="157" t="str">
        <f>IF(LEN(IF(VLOOKUP("AMLA_VR_AML.03.02_C0040_01",$A:$I,9,0)&lt;&gt;"OK",CHAR(10)&amp;VLOOKUP("AMLA_VR_AML.03.02_C0040_01",$A:$I,9,0),"")&amp;IF(VLOOKUP("AMLA_VR_AML.03.02_C0040_02",$A:$I,9,0)&lt;&gt;"OK",CHAR(10)&amp;VLOOKUP("AMLA_VR_AML.03.02_C0040_02",$A:$I,9,0),"")&amp;IF(VLOOKUP("AMLA_VR_AML.03.02_C0040_03",$A:$I,9,0)&lt;&gt;"OK",CHAR(10)&amp;VLOOKUP("AMLA_VR_AML.03.02_C0040_03",$A:$I,9,0),""))=0,"OK",MID(IF(VLOOKUP("AMLA_VR_AML.03.02_C0040_01",$A:$I,9,0)&lt;&gt;"OK",CHAR(10)&amp;VLOOKUP("AMLA_VR_AML.03.02_C0040_01",$A:$I,9,0),"")&amp;IF(VLOOKUP("AMLA_VR_AML.03.02_C0040_02",$A:$I,9,0)&lt;&gt;"OK",CHAR(10)&amp;VLOOKUP("AMLA_VR_AML.03.02_C0040_02",$A:$I,9,0),"")&amp;IF(VLOOKUP("AMLA_VR_AML.03.02_C0040_03",$A:$I,9,0)&lt;&gt;"OK",CHAR(10)&amp;VLOOKUP("AMLA_VR_AML.03.02_C0040_03",$A:$I,9,0),""),2,3000))</f>
        <v>OK</v>
      </c>
      <c r="K126" s="157" t="s">
        <v>1775</v>
      </c>
    </row>
    <row r="127" spans="1:11">
      <c r="A127" s="159" t="str">
        <f>"AMLA_VR_" &amp; B127 &amp; "_" &amp; C127 &amp; "_" &amp; TEXT(COUNTIFS($B$2:B127, B127, $C$2:C127, C127), "00")</f>
        <v>AMLA_VR_AML.03.02_C0040_03</v>
      </c>
      <c r="B127" s="160" t="s">
        <v>159</v>
      </c>
      <c r="C127" s="160" t="s">
        <v>84</v>
      </c>
      <c r="D127" s="160" t="s">
        <v>1552</v>
      </c>
      <c r="E127" s="160" t="str" cm="1">
        <f t="array" aca="1" ref="E127" ca="1">IF(C127="", INDIRECT("'"&amp;B127&amp;"'!B3"), INDEX(INDIRECT("'"&amp;B127&amp;"'!5:5"), COLUMN(INDIRECT("'"&amp;B127&amp;"'!"&amp;D127))))</f>
        <v>Transactions on vIBANs (Outgoing) - Number</v>
      </c>
      <c r="F127" s="160" t="s">
        <v>1772</v>
      </c>
      <c r="G127" s="160" t="s">
        <v>1813</v>
      </c>
      <c r="H127" s="161" t="s">
        <v>1840</v>
      </c>
      <c r="I127" s="160" t="str">
        <f>IF(AND('AML.03.02'!$E$11=0, 'AML.03.02'!$F$11&gt;0), $G127 &amp; ": " &amp; $H127, "OK")</f>
        <v>OK</v>
      </c>
      <c r="J127" s="160" t="str">
        <f>IF(LEN(IF(VLOOKUP("AMLA_VR_AML.03.02_C0040_01",$A:$I,9,0)&lt;&gt;"OK",CHAR(10)&amp;VLOOKUP("AMLA_VR_AML.03.02_C0040_01",$A:$I,9,0),"")&amp;IF(VLOOKUP("AMLA_VR_AML.03.02_C0040_02",$A:$I,9,0)&lt;&gt;"OK",CHAR(10)&amp;VLOOKUP("AMLA_VR_AML.03.02_C0040_02",$A:$I,9,0),"")&amp;IF(VLOOKUP("AMLA_VR_AML.03.02_C0040_03",$A:$I,9,0)&lt;&gt;"OK",CHAR(10)&amp;VLOOKUP("AMLA_VR_AML.03.02_C0040_03",$A:$I,9,0),""))=0,"OK",MID(IF(VLOOKUP("AMLA_VR_AML.03.02_C0040_01",$A:$I,9,0)&lt;&gt;"OK",CHAR(10)&amp;VLOOKUP("AMLA_VR_AML.03.02_C0040_01",$A:$I,9,0),"")&amp;IF(VLOOKUP("AMLA_VR_AML.03.02_C0040_02",$A:$I,9,0)&lt;&gt;"OK",CHAR(10)&amp;VLOOKUP("AMLA_VR_AML.03.02_C0040_02",$A:$I,9,0),"")&amp;IF(VLOOKUP("AMLA_VR_AML.03.02_C0040_03",$A:$I,9,0)&lt;&gt;"OK",CHAR(10)&amp;VLOOKUP("AMLA_VR_AML.03.02_C0040_03",$A:$I,9,0),""),2,3000))</f>
        <v>OK</v>
      </c>
      <c r="K127" s="160" t="s">
        <v>1775</v>
      </c>
    </row>
    <row r="128" spans="1:11">
      <c r="A128" s="159" t="str">
        <f>"AMLA_VR_" &amp; B128 &amp; "_" &amp; C128 &amp; "_" &amp; TEXT(COUNTIFS($B$2:B128, B128, $C$2:C128, C128), "00")</f>
        <v>AMLA_VR_AML.03.02_C0050_01</v>
      </c>
      <c r="B128" s="157" t="s">
        <v>159</v>
      </c>
      <c r="C128" s="157" t="s">
        <v>85</v>
      </c>
      <c r="D128" s="157" t="s">
        <v>1553</v>
      </c>
      <c r="E128" s="160" t="str" cm="1">
        <f t="array" aca="1" ref="E128" ca="1">IF(C128="", INDIRECT("'"&amp;B128&amp;"'!B3"), INDEX(INDIRECT("'"&amp;B128&amp;"'!5:5"), COLUMN(INDIRECT("'"&amp;B128&amp;"'!"&amp;D128))))</f>
        <v>Transactions on vIBANs (Outgoing) - Value</v>
      </c>
      <c r="F128" s="157" t="s">
        <v>1772</v>
      </c>
      <c r="G128" s="157" t="s">
        <v>1773</v>
      </c>
      <c r="H128" s="158" t="s">
        <v>1822</v>
      </c>
      <c r="I128" s="157" t="str">
        <f>IF('AML.03.02'!$F$11&lt;0, $G128 &amp; ": " &amp; $H128, "OK")</f>
        <v>OK</v>
      </c>
      <c r="J128" s="157" t="str">
        <f>IF(LEN(IF(VLOOKUP("AMLA_VR_AML.03.02_C0050_01",$A:$I,9,0)&lt;&gt;"OK",CHAR(10)&amp;VLOOKUP("AMLA_VR_AML.03.02_C0050_01",$A:$I,9,0),"")&amp;IF(VLOOKUP("AMLA_VR_AML.03.02_C0050_02",$A:$I,9,0)&lt;&gt;"OK",CHAR(10)&amp;VLOOKUP("AMLA_VR_AML.03.02_C0050_02",$A:$I,9,0),"")&amp;IF(VLOOKUP("AMLA_VR_AML.03.02_C0050_03",$A:$I,9,0)&lt;&gt;"OK",CHAR(10)&amp;VLOOKUP("AMLA_VR_AML.03.02_C0050_03",$A:$I,9,0),""))=0,"OK",MID(IF(VLOOKUP("AMLA_VR_AML.03.02_C0050_01",$A:$I,9,0)&lt;&gt;"OK",CHAR(10)&amp;VLOOKUP("AMLA_VR_AML.03.02_C0050_01",$A:$I,9,0),"")&amp;IF(VLOOKUP("AMLA_VR_AML.03.02_C0050_02",$A:$I,9,0)&lt;&gt;"OK",CHAR(10)&amp;VLOOKUP("AMLA_VR_AML.03.02_C0050_02",$A:$I,9,0),"")&amp;IF(VLOOKUP("AMLA_VR_AML.03.02_C0050_03",$A:$I,9,0)&lt;&gt;"OK",CHAR(10)&amp;VLOOKUP("AMLA_VR_AML.03.02_C0050_03",$A:$I,9,0),""),2,3000))</f>
        <v>OK</v>
      </c>
      <c r="K128" s="157" t="s">
        <v>1775</v>
      </c>
    </row>
    <row r="129" spans="1:11">
      <c r="A129" s="159" t="str">
        <f>"AMLA_VR_" &amp; B129 &amp; "_" &amp; C129 &amp; "_" &amp; TEXT(COUNTIFS($B$2:B129, B129, $C$2:C129, C129), "00")</f>
        <v>AMLA_VR_AML.03.02_C0050_02</v>
      </c>
      <c r="B129" s="160" t="s">
        <v>159</v>
      </c>
      <c r="C129" s="160" t="s">
        <v>85</v>
      </c>
      <c r="D129" s="160" t="s">
        <v>1553</v>
      </c>
      <c r="E129" s="160" t="str" cm="1">
        <f t="array" aca="1" ref="E129" ca="1">IF(C129="", INDIRECT("'"&amp;B129&amp;"'!B3"), INDEX(INDIRECT("'"&amp;B129&amp;"'!5:5"), COLUMN(INDIRECT("'"&amp;B129&amp;"'!"&amp;D129))))</f>
        <v>Transactions on vIBANs (Outgoing) - Value</v>
      </c>
      <c r="F129" s="160" t="s">
        <v>1776</v>
      </c>
      <c r="G129" s="160" t="s">
        <v>1773</v>
      </c>
      <c r="H129" s="161" t="s">
        <v>1837</v>
      </c>
      <c r="I129" s="160" t="str">
        <f>IF(TRIM(SUBSTITUTE('AML.03.02'!$F$11&amp;"",CHAR(160),""))="","OK",IF(NOT(ISNUMBER('AML.03.02'!$F$11)),$G129&amp;": "&amp;$H129,"OK"))</f>
        <v>OK</v>
      </c>
      <c r="J129" s="160" t="str">
        <f>IF(LEN(IF(VLOOKUP("AMLA_VR_AML.03.02_C0050_01",$A:$I,9,0)&lt;&gt;"OK",CHAR(10)&amp;VLOOKUP("AMLA_VR_AML.03.02_C0050_01",$A:$I,9,0),"")&amp;IF(VLOOKUP("AMLA_VR_AML.03.02_C0050_02",$A:$I,9,0)&lt;&gt;"OK",CHAR(10)&amp;VLOOKUP("AMLA_VR_AML.03.02_C0050_02",$A:$I,9,0),"")&amp;IF(VLOOKUP("AMLA_VR_AML.03.02_C0050_03",$A:$I,9,0)&lt;&gt;"OK",CHAR(10)&amp;VLOOKUP("AMLA_VR_AML.03.02_C0050_03",$A:$I,9,0),""))=0,"OK",MID(IF(VLOOKUP("AMLA_VR_AML.03.02_C0050_01",$A:$I,9,0)&lt;&gt;"OK",CHAR(10)&amp;VLOOKUP("AMLA_VR_AML.03.02_C0050_01",$A:$I,9,0),"")&amp;IF(VLOOKUP("AMLA_VR_AML.03.02_C0050_02",$A:$I,9,0)&lt;&gt;"OK",CHAR(10)&amp;VLOOKUP("AMLA_VR_AML.03.02_C0050_02",$A:$I,9,0),"")&amp;IF(VLOOKUP("AMLA_VR_AML.03.02_C0050_03",$A:$I,9,0)&lt;&gt;"OK",CHAR(10)&amp;VLOOKUP("AMLA_VR_AML.03.02_C0050_03",$A:$I,9,0),""),2,3000))</f>
        <v>OK</v>
      </c>
      <c r="K129" s="160" t="s">
        <v>1775</v>
      </c>
    </row>
    <row r="130" spans="1:11">
      <c r="A130" s="159" t="str">
        <f>"AMLA_VR_" &amp; B130 &amp; "_" &amp; C130 &amp; "_" &amp; TEXT(COUNTIFS($B$2:B130, B130, $C$2:C130, C130), "00")</f>
        <v>AMLA_VR_AML.03.02_C0050_03</v>
      </c>
      <c r="B130" s="160" t="s">
        <v>159</v>
      </c>
      <c r="C130" s="160" t="s">
        <v>85</v>
      </c>
      <c r="D130" s="160" t="s">
        <v>1553</v>
      </c>
      <c r="E130" s="160" t="str" cm="1">
        <f t="array" aca="1" ref="E130" ca="1">IF(C130="", INDIRECT("'"&amp;B130&amp;"'!B3"), INDEX(INDIRECT("'"&amp;B130&amp;"'!5:5"), COLUMN(INDIRECT("'"&amp;B130&amp;"'!"&amp;D130))))</f>
        <v>Transactions on vIBANs (Outgoing) - Value</v>
      </c>
      <c r="F130" s="160" t="s">
        <v>1772</v>
      </c>
      <c r="G130" s="160" t="s">
        <v>1813</v>
      </c>
      <c r="H130" s="161" t="s">
        <v>1841</v>
      </c>
      <c r="I130" s="160" t="str">
        <f>IF(AND('AML.03.02'!$F$11=0, 'AML.03.02'!$E$11&gt;0), $G130 &amp; ": " &amp; $H130, "OK")</f>
        <v>OK</v>
      </c>
      <c r="J130" s="160" t="str">
        <f>IF(LEN(IF(VLOOKUP("AMLA_VR_AML.03.02_C0050_01",$A:$I,9,0)&lt;&gt;"OK",CHAR(10)&amp;VLOOKUP("AMLA_VR_AML.03.02_C0050_01",$A:$I,9,0),"")&amp;IF(VLOOKUP("AMLA_VR_AML.03.02_C0050_02",$A:$I,9,0)&lt;&gt;"OK",CHAR(10)&amp;VLOOKUP("AMLA_VR_AML.03.02_C0050_02",$A:$I,9,0),"")&amp;IF(VLOOKUP("AMLA_VR_AML.03.02_C0050_03",$A:$I,9,0)&lt;&gt;"OK",CHAR(10)&amp;VLOOKUP("AMLA_VR_AML.03.02_C0050_03",$A:$I,9,0),""))=0,"OK",MID(IF(VLOOKUP("AMLA_VR_AML.03.02_C0050_01",$A:$I,9,0)&lt;&gt;"OK",CHAR(10)&amp;VLOOKUP("AMLA_VR_AML.03.02_C0050_01",$A:$I,9,0),"")&amp;IF(VLOOKUP("AMLA_VR_AML.03.02_C0050_02",$A:$I,9,0)&lt;&gt;"OK",CHAR(10)&amp;VLOOKUP("AMLA_VR_AML.03.02_C0050_02",$A:$I,9,0),"")&amp;IF(VLOOKUP("AMLA_VR_AML.03.02_C0050_03",$A:$I,9,0)&lt;&gt;"OK",CHAR(10)&amp;VLOOKUP("AMLA_VR_AML.03.02_C0050_03",$A:$I,9,0),""),2,3000))</f>
        <v>OK</v>
      </c>
      <c r="K130" s="160" t="s">
        <v>1775</v>
      </c>
    </row>
    <row r="131" spans="1:11">
      <c r="A131" s="159" t="str">
        <f>"AMLA_VR_" &amp; B131 &amp; "_" &amp; C131 &amp; "_" &amp; TEXT(COUNTIFS($B$2:B131, B131, $C$2:C131, C131), "00")</f>
        <v>AMLA_VR_AML.03.02_C0060_01</v>
      </c>
      <c r="B131" s="157" t="s">
        <v>159</v>
      </c>
      <c r="C131" s="157" t="s">
        <v>86</v>
      </c>
      <c r="D131" s="157" t="s">
        <v>1554</v>
      </c>
      <c r="E131" s="160" t="str" cm="1">
        <f t="array" aca="1" ref="E131" ca="1">IF(C131="", INDIRECT("'"&amp;B131&amp;"'!B3"), INDEX(INDIRECT("'"&amp;B131&amp;"'!5:5"), COLUMN(INDIRECT("'"&amp;B131&amp;"'!"&amp;D131))))</f>
        <v>Re-issued Virtual IBANs</v>
      </c>
      <c r="F131" s="157" t="s">
        <v>1772</v>
      </c>
      <c r="G131" s="157" t="s">
        <v>1773</v>
      </c>
      <c r="H131" s="158" t="s">
        <v>1823</v>
      </c>
      <c r="I131" s="157" t="str">
        <f>IF('AML.03.02'!$G$11&lt;0, $G131 &amp; ": " &amp; $H131, "OK")</f>
        <v>OK</v>
      </c>
      <c r="J131" s="157" t="str">
        <f>IF(LEN(IF(VLOOKUP("AMLA_VR_AML.03.02_C0060_01",$A:$I,9,0)&lt;&gt;"OK",CHAR(10)&amp;VLOOKUP("AMLA_VR_AML.03.02_C0060_01",$A:$I,9,0),"")&amp;IF(VLOOKUP("AMLA_VR_AML.03.02_C0060_02",$A:$I,9,0)&lt;&gt;"OK",CHAR(10)&amp;VLOOKUP("AMLA_VR_AML.03.02_C0060_02",$A:$I,9,0),""))=0,"OK",MID(IF(VLOOKUP("AMLA_VR_AML.03.02_C0060_01",$A:$I,9,0)&lt;&gt;"OK",CHAR(10)&amp;VLOOKUP("AMLA_VR_AML.03.02_C0060_01",$A:$I,9,0),"")&amp;IF(VLOOKUP("AMLA_VR_AML.03.02_C0060_02",$A:$I,9,0)&lt;&gt;"OK",CHAR(10)&amp;VLOOKUP("AMLA_VR_AML.03.02_C0060_02",$A:$I,9,0),""),2,3000))</f>
        <v>OK</v>
      </c>
      <c r="K131" s="157" t="s">
        <v>1775</v>
      </c>
    </row>
    <row r="132" spans="1:11">
      <c r="A132" s="159" t="str">
        <f>"AMLA_VR_" &amp; B132 &amp; "_" &amp; C132 &amp; "_" &amp; TEXT(COUNTIFS($B$2:B132, B132, $C$2:C132, C132), "00")</f>
        <v>AMLA_VR_AML.03.02_C0060_02</v>
      </c>
      <c r="B132" s="157" t="s">
        <v>159</v>
      </c>
      <c r="C132" s="157" t="s">
        <v>86</v>
      </c>
      <c r="D132" s="157" t="s">
        <v>1554</v>
      </c>
      <c r="E132" s="160" t="str" cm="1">
        <f t="array" aca="1" ref="E132" ca="1">IF(C132="", INDIRECT("'"&amp;B132&amp;"'!B3"), INDEX(INDIRECT("'"&amp;B132&amp;"'!5:5"), COLUMN(INDIRECT("'"&amp;B132&amp;"'!"&amp;D132))))</f>
        <v>Re-issued Virtual IBANs</v>
      </c>
      <c r="F132" s="157" t="s">
        <v>1776</v>
      </c>
      <c r="G132" s="157" t="s">
        <v>1773</v>
      </c>
      <c r="H132" s="158" t="s">
        <v>1816</v>
      </c>
      <c r="I132" s="157" t="str">
        <f>IF(TRIM(SUBSTITUTE('AML.03.02'!$G$11&amp;"",CHAR(160),""))="","OK",IF(OR(NOT(ISNUMBER('AML.03.02'!$G$11)),IFERROR(INT('AML.03.02'!$G$11)&lt;&gt;'AML.03.02'!$G$11,TRUE)),$G132&amp;": "&amp;$H132,"OK"))</f>
        <v>OK</v>
      </c>
      <c r="J132" s="157" t="str">
        <f>IF(LEN(IF(VLOOKUP("AMLA_VR_AML.03.02_C0060_01",$A:$I,9,0)&lt;&gt;"OK",CHAR(10)&amp;VLOOKUP("AMLA_VR_AML.03.02_C0060_01",$A:$I,9,0),"")&amp;IF(VLOOKUP("AMLA_VR_AML.03.02_C0060_02",$A:$I,9,0)&lt;&gt;"OK",CHAR(10)&amp;VLOOKUP("AMLA_VR_AML.03.02_C0060_02",$A:$I,9,0),""))=0,"OK",MID(IF(VLOOKUP("AMLA_VR_AML.03.02_C0060_01",$A:$I,9,0)&lt;&gt;"OK",CHAR(10)&amp;VLOOKUP("AMLA_VR_AML.03.02_C0060_01",$A:$I,9,0),"")&amp;IF(VLOOKUP("AMLA_VR_AML.03.02_C0060_02",$A:$I,9,0)&lt;&gt;"OK",CHAR(10)&amp;VLOOKUP("AMLA_VR_AML.03.02_C0060_02",$A:$I,9,0),""),2,3000))</f>
        <v>OK</v>
      </c>
      <c r="K132" s="157" t="s">
        <v>1775</v>
      </c>
    </row>
    <row r="133" spans="1:11">
      <c r="A133" s="159" t="str">
        <f>"AMLA_VR_" &amp; B133 &amp; "_" &amp; C133 &amp; "_" &amp; TEXT(COUNTIFS($B$2:B133, B133, $C$2:C133, C133), "00")</f>
        <v>AMLA_VR_AML.03.02_C0070_01</v>
      </c>
      <c r="B133" s="160" t="s">
        <v>159</v>
      </c>
      <c r="C133" s="160" t="s">
        <v>87</v>
      </c>
      <c r="D133" s="160" t="s">
        <v>1555</v>
      </c>
      <c r="E133" s="160" t="str" cm="1">
        <f t="array" aca="1" ref="E133" ca="1">IF(C133="", INDIRECT("'"&amp;B133&amp;"'!B3"), INDEX(INDIRECT("'"&amp;B133&amp;"'!5:5"), COLUMN(INDIRECT("'"&amp;B133&amp;"'!"&amp;D133))))</f>
        <v>Re-issued Virtual IBANs - Non-customer End-user</v>
      </c>
      <c r="F133" s="160" t="s">
        <v>1772</v>
      </c>
      <c r="G133" s="160" t="s">
        <v>1773</v>
      </c>
      <c r="H133" s="161" t="s">
        <v>1824</v>
      </c>
      <c r="I133" s="160" t="str">
        <f>IF('AML.03.02'!$H$11&lt;0, $G133 &amp; ": " &amp; $H133, "OK")</f>
        <v>OK</v>
      </c>
      <c r="J133" s="160" t="str">
        <f>IF(LEN(IF(VLOOKUP("AMLA_VR_AML.03.02_C0070_01",$A:$I,9,0)&lt;&gt;"OK",CHAR(10)&amp;VLOOKUP("AMLA_VR_AML.03.02_C0070_01",$A:$I,9,0),"")&amp;IF(VLOOKUP("AMLA_VR_AML.03.02_C0070_02",$A:$I,9,0)&lt;&gt;"OK",CHAR(10)&amp;VLOOKUP("AMLA_VR_AML.03.02_C0070_02",$A:$I,9,0),""))=0,"OK",MID(IF(VLOOKUP("AMLA_VR_AML.03.02_C0070_01",$A:$I,9,0)&lt;&gt;"OK",CHAR(10)&amp;VLOOKUP("AMLA_VR_AML.03.02_C0070_01",$A:$I,9,0),"")&amp;IF(VLOOKUP("AMLA_VR_AML.03.02_C0070_02",$A:$I,9,0)&lt;&gt;"OK",CHAR(10)&amp;VLOOKUP("AMLA_VR_AML.03.02_C0070_02",$A:$I,9,0),""),2,3000))</f>
        <v>OK</v>
      </c>
      <c r="K133" s="160" t="s">
        <v>1775</v>
      </c>
    </row>
    <row r="134" spans="1:11">
      <c r="A134" s="159" t="str">
        <f>"AMLA_VR_" &amp; B134 &amp; "_" &amp; C134 &amp; "_" &amp; TEXT(COUNTIFS($B$2:B134, B134, $C$2:C134, C134), "00")</f>
        <v>AMLA_VR_AML.03.02_C0070_02</v>
      </c>
      <c r="B134" s="160" t="s">
        <v>159</v>
      </c>
      <c r="C134" s="160" t="s">
        <v>87</v>
      </c>
      <c r="D134" s="160" t="s">
        <v>1555</v>
      </c>
      <c r="E134" s="160" t="str" cm="1">
        <f t="array" aca="1" ref="E134" ca="1">IF(C134="", INDIRECT("'"&amp;B134&amp;"'!B3"), INDEX(INDIRECT("'"&amp;B134&amp;"'!5:5"), COLUMN(INDIRECT("'"&amp;B134&amp;"'!"&amp;D134))))</f>
        <v>Re-issued Virtual IBANs - Non-customer End-user</v>
      </c>
      <c r="F134" s="160" t="s">
        <v>1776</v>
      </c>
      <c r="G134" s="160" t="s">
        <v>1773</v>
      </c>
      <c r="H134" s="161" t="s">
        <v>1816</v>
      </c>
      <c r="I134" s="160" t="str">
        <f>IF(TRIM(SUBSTITUTE('AML.03.02'!$H$11&amp;"",CHAR(160),""))="","OK",IF(OR(NOT(ISNUMBER('AML.03.02'!$H$11)),IFERROR(INT('AML.03.02'!$H$11)&lt;&gt;'AML.03.02'!$H$11,TRUE)),$G134&amp;": "&amp;$H134,"OK"))</f>
        <v>OK</v>
      </c>
      <c r="J134" s="160" t="str">
        <f>IF(LEN(IF(VLOOKUP("AMLA_VR_AML.03.02_C0070_01",$A:$I,9,0)&lt;&gt;"OK",CHAR(10)&amp;VLOOKUP("AMLA_VR_AML.03.02_C0070_01",$A:$I,9,0),"")&amp;IF(VLOOKUP("AMLA_VR_AML.03.02_C0070_02",$A:$I,9,0)&lt;&gt;"OK",CHAR(10)&amp;VLOOKUP("AMLA_VR_AML.03.02_C0070_02",$A:$I,9,0),""))=0,"OK",MID(IF(VLOOKUP("AMLA_VR_AML.03.02_C0070_01",$A:$I,9,0)&lt;&gt;"OK",CHAR(10)&amp;VLOOKUP("AMLA_VR_AML.03.02_C0070_01",$A:$I,9,0),"")&amp;IF(VLOOKUP("AMLA_VR_AML.03.02_C0070_02",$A:$I,9,0)&lt;&gt;"OK",CHAR(10)&amp;VLOOKUP("AMLA_VR_AML.03.02_C0070_02",$A:$I,9,0),""),2,3000))</f>
        <v>OK</v>
      </c>
      <c r="K134" s="160" t="s">
        <v>1775</v>
      </c>
    </row>
    <row r="135" spans="1:11">
      <c r="A135" s="159" t="str">
        <f>"AMLA_VR_" &amp; B135 &amp; "_" &amp; C135 &amp; "_" &amp; TEXT(COUNTIFS($B$2:B135, B135, $C$2:C135, C135), "00")</f>
        <v>AMLA_VR_AML.03.03_C0010_01</v>
      </c>
      <c r="B135" s="157" t="s">
        <v>168</v>
      </c>
      <c r="C135" s="157" t="s">
        <v>81</v>
      </c>
      <c r="D135" s="157" t="s">
        <v>1549</v>
      </c>
      <c r="E135" s="160" t="str" cm="1">
        <f t="array" aca="1" ref="E135" ca="1">IF(C135="", INDIRECT("'"&amp;B135&amp;"'!B3"), INDEX(INDIRECT("'"&amp;B135&amp;"'!5:5"), COLUMN(INDIRECT("'"&amp;B135&amp;"'!"&amp;D135))))</f>
        <v>Prepaid Cards Issued - Number</v>
      </c>
      <c r="F135" s="157" t="s">
        <v>1772</v>
      </c>
      <c r="G135" s="157" t="s">
        <v>1773</v>
      </c>
      <c r="H135" s="158" t="s">
        <v>1815</v>
      </c>
      <c r="I135" s="157" t="str">
        <f>IF('AML.03.03'!$B$11&lt;0, $G135 &amp; ": " &amp; $H135, "OK")</f>
        <v>OK</v>
      </c>
      <c r="J135" s="157" t="str">
        <f>IF(LEN(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0,"OK",MID(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2,3000))</f>
        <v>OK</v>
      </c>
      <c r="K135" s="157" t="s">
        <v>1775</v>
      </c>
    </row>
    <row r="136" spans="1:11">
      <c r="A136" s="159" t="str">
        <f>"AMLA_VR_" &amp; B136 &amp; "_" &amp; C136 &amp; "_" &amp; TEXT(COUNTIFS($B$2:B136, B136, $C$2:C136, C136), "00")</f>
        <v>AMLA_VR_AML.03.03_C0010_02</v>
      </c>
      <c r="B136" s="157" t="s">
        <v>168</v>
      </c>
      <c r="C136" s="157" t="s">
        <v>81</v>
      </c>
      <c r="D136" s="157" t="s">
        <v>1549</v>
      </c>
      <c r="E136" s="160" t="str" cm="1">
        <f t="array" aca="1" ref="E136" ca="1">IF(C136="", INDIRECT("'"&amp;B136&amp;"'!B3"), INDEX(INDIRECT("'"&amp;B136&amp;"'!5:5"), COLUMN(INDIRECT("'"&amp;B136&amp;"'!"&amp;D136))))</f>
        <v>Prepaid Cards Issued - Number</v>
      </c>
      <c r="F136" s="157" t="s">
        <v>1776</v>
      </c>
      <c r="G136" s="157" t="s">
        <v>1773</v>
      </c>
      <c r="H136" s="158" t="s">
        <v>1816</v>
      </c>
      <c r="I136" s="157" t="str">
        <f>IF(TRIM(SUBSTITUTE('AML.03.03'!$B$11&amp;"",CHAR(160),""))="","OK",IF(OR(NOT(ISNUMBER('AML.03.03'!$B$11)),IFERROR(INT('AML.03.03'!$B$11)&lt;&gt;'AML.03.03'!$B$11,TRUE)),$G136&amp;": "&amp;$H136,"OK"))</f>
        <v>OK</v>
      </c>
      <c r="J136" s="157" t="str">
        <f>IF(LEN(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0,"OK",MID(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2,3000))</f>
        <v>OK</v>
      </c>
      <c r="K136" s="157" t="s">
        <v>1775</v>
      </c>
    </row>
    <row r="137" spans="1:11">
      <c r="A137" s="159" t="str">
        <f>"AMLA_VR_" &amp; B137 &amp; "_" &amp; C137 &amp; "_" &amp; TEXT(COUNTIFS($B$2:B137, B137, $C$2:C137, C137), "00")</f>
        <v>AMLA_VR_AML.03.03_C0010_03</v>
      </c>
      <c r="B137" s="160" t="s">
        <v>168</v>
      </c>
      <c r="C137" s="160" t="s">
        <v>81</v>
      </c>
      <c r="D137" s="160" t="s">
        <v>1549</v>
      </c>
      <c r="E137" s="160" t="str" cm="1">
        <f t="array" aca="1" ref="E137" ca="1">IF(C137="", INDIRECT("'"&amp;B137&amp;"'!B3"), INDEX(INDIRECT("'"&amp;B137&amp;"'!5:5"), COLUMN(INDIRECT("'"&amp;B137&amp;"'!"&amp;D137))))</f>
        <v>Prepaid Cards Issued - Number</v>
      </c>
      <c r="F137" s="160" t="s">
        <v>1772</v>
      </c>
      <c r="G137" s="160" t="s">
        <v>1813</v>
      </c>
      <c r="H137" s="161" t="s">
        <v>1842</v>
      </c>
      <c r="I137" s="160" t="str">
        <f>IF(AND('AML.03.03'!$B$11=0, 'AML.03.03'!$C$11&gt;0), $G137 &amp; ": " &amp; $H137, "OK")</f>
        <v>OK</v>
      </c>
      <c r="J137" s="160" t="str">
        <f>IF(LEN(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0,"OK",MID(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2,3000))</f>
        <v>OK</v>
      </c>
      <c r="K137" s="160" t="s">
        <v>1775</v>
      </c>
    </row>
    <row r="138" spans="1:11">
      <c r="A138" s="159" t="str">
        <f>"AMLA_VR_" &amp; B138 &amp; "_" &amp; C138 &amp; "_" &amp; TEXT(COUNTIFS($B$2:B138, B138, $C$2:C138, C138), "00")</f>
        <v>AMLA_VR_AML.03.03_C0010_04</v>
      </c>
      <c r="B138" s="157" t="s">
        <v>168</v>
      </c>
      <c r="C138" s="157" t="s">
        <v>81</v>
      </c>
      <c r="D138" s="157" t="s">
        <v>1549</v>
      </c>
      <c r="E138" s="160" t="str" cm="1">
        <f t="array" aca="1" ref="E138" ca="1">IF(C138="", INDIRECT("'"&amp;B138&amp;"'!B3"), INDEX(INDIRECT("'"&amp;B138&amp;"'!5:5"), COLUMN(INDIRECT("'"&amp;B138&amp;"'!"&amp;D138))))</f>
        <v>Prepaid Cards Issued - Number</v>
      </c>
      <c r="F138" s="157" t="s">
        <v>1772</v>
      </c>
      <c r="G138" s="157" t="s">
        <v>1813</v>
      </c>
      <c r="H138" s="158" t="s">
        <v>1843</v>
      </c>
      <c r="I138" s="157" t="str">
        <f>IF(AND('AML.03.03'!$B$11=0, 'AML.03.03'!$E$11&gt;0), $G138 &amp; ": " &amp; $H138, "OK")</f>
        <v>OK</v>
      </c>
      <c r="J138" s="157" t="str">
        <f>IF(LEN(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0,"OK",MID(IF(VLOOKUP("AMLA_VR_AML.03.03_C0010_01",$A:$I,9,0)&lt;&gt;"OK",CHAR(10)&amp;VLOOKUP("AMLA_VR_AML.03.03_C0010_01",$A:$I,9,0),"")&amp;IF(VLOOKUP("AMLA_VR_AML.03.03_C0010_02",$A:$I,9,0)&lt;&gt;"OK",CHAR(10)&amp;VLOOKUP("AMLA_VR_AML.03.03_C0010_02",$A:$I,9,0),"")&amp;IF(VLOOKUP("AMLA_VR_AML.03.03_C0010_03",$A:$I,9,0)&lt;&gt;"OK",CHAR(10)&amp;VLOOKUP("AMLA_VR_AML.03.03_C0010_03",$A:$I,9,0),"")&amp;IF(VLOOKUP("AMLA_VR_AML.03.03_C0010_04",$A:$I,9,0)&lt;&gt;"OK",CHAR(10)&amp;VLOOKUP("AMLA_VR_AML.03.03_C0010_04",$A:$I,9,0),""),2,3000))</f>
        <v>OK</v>
      </c>
      <c r="K138" s="157" t="s">
        <v>1775</v>
      </c>
    </row>
    <row r="139" spans="1:11">
      <c r="A139" s="159" t="str">
        <f>"AMLA_VR_" &amp; B139 &amp; "_" &amp; C139 &amp; "_" &amp; TEXT(COUNTIFS($B$2:B139, B139, $C$2:C139, C139), "00")</f>
        <v>AMLA_VR_AML.03.03_C0020_01</v>
      </c>
      <c r="B139" s="160" t="s">
        <v>168</v>
      </c>
      <c r="C139" s="160" t="s">
        <v>82</v>
      </c>
      <c r="D139" s="160" t="s">
        <v>1550</v>
      </c>
      <c r="E139" s="160" t="str" cm="1">
        <f t="array" aca="1" ref="E139" ca="1">IF(C139="", INDIRECT("'"&amp;B139&amp;"'!B3"), INDEX(INDIRECT("'"&amp;B139&amp;"'!5:5"), COLUMN(INDIRECT("'"&amp;B139&amp;"'!"&amp;D139))))</f>
        <v>Prepaid Cards Issued - Value</v>
      </c>
      <c r="F139" s="160" t="s">
        <v>1772</v>
      </c>
      <c r="G139" s="160" t="s">
        <v>1773</v>
      </c>
      <c r="H139" s="161" t="s">
        <v>1819</v>
      </c>
      <c r="I139" s="160" t="str">
        <f>IF('AML.03.03'!$C$11&lt;0, $G139 &amp; ": " &amp; $H139, "OK")</f>
        <v>OK</v>
      </c>
      <c r="J139" s="160" t="str">
        <f>IF(LEN(IF(VLOOKUP("AMLA_VR_AML.03.03_C0020_01",$A:$I,9,0)&lt;&gt;"OK",CHAR(10)&amp;VLOOKUP("AMLA_VR_AML.03.03_C0020_01",$A:$I,9,0),"")&amp;IF(VLOOKUP("AMLA_VR_AML.03.03_C0020_02",$A:$I,9,0)&lt;&gt;"OK",CHAR(10)&amp;VLOOKUP("AMLA_VR_AML.03.03_C0020_02",$A:$I,9,0),"")&amp;IF(VLOOKUP("AMLA_VR_AML.03.03_C0020_03",$A:$I,9,0)&lt;&gt;"OK",CHAR(10)&amp;VLOOKUP("AMLA_VR_AML.03.03_C0020_03",$A:$I,9,0),""))=0,"OK",MID(IF(VLOOKUP("AMLA_VR_AML.03.03_C0020_01",$A:$I,9,0)&lt;&gt;"OK",CHAR(10)&amp;VLOOKUP("AMLA_VR_AML.03.03_C0020_01",$A:$I,9,0),"")&amp;IF(VLOOKUP("AMLA_VR_AML.03.03_C0020_02",$A:$I,9,0)&lt;&gt;"OK",CHAR(10)&amp;VLOOKUP("AMLA_VR_AML.03.03_C0020_02",$A:$I,9,0),"")&amp;IF(VLOOKUP("AMLA_VR_AML.03.03_C0020_03",$A:$I,9,0)&lt;&gt;"OK",CHAR(10)&amp;VLOOKUP("AMLA_VR_AML.03.03_C0020_03",$A:$I,9,0),""),2,3000))</f>
        <v>OK</v>
      </c>
      <c r="K139" s="160" t="s">
        <v>1775</v>
      </c>
    </row>
    <row r="140" spans="1:11">
      <c r="A140" s="159" t="str">
        <f>"AMLA_VR_" &amp; B140 &amp; "_" &amp; C140 &amp; "_" &amp; TEXT(COUNTIFS($B$2:B140, B140, $C$2:C140, C140), "00")</f>
        <v>AMLA_VR_AML.03.03_C0020_02</v>
      </c>
      <c r="B140" s="160" t="s">
        <v>168</v>
      </c>
      <c r="C140" s="160" t="s">
        <v>82</v>
      </c>
      <c r="D140" s="160" t="s">
        <v>1550</v>
      </c>
      <c r="E140" s="160" t="str" cm="1">
        <f t="array" aca="1" ref="E140" ca="1">IF(C140="", INDIRECT("'"&amp;B140&amp;"'!B3"), INDEX(INDIRECT("'"&amp;B140&amp;"'!5:5"), COLUMN(INDIRECT("'"&amp;B140&amp;"'!"&amp;D140))))</f>
        <v>Prepaid Cards Issued - Value</v>
      </c>
      <c r="F140" s="160" t="s">
        <v>1776</v>
      </c>
      <c r="G140" s="160" t="s">
        <v>1773</v>
      </c>
      <c r="H140" s="161" t="s">
        <v>1837</v>
      </c>
      <c r="I140" s="160" t="str">
        <f>IF(TRIM(SUBSTITUTE('AML.03.03'!$C$11&amp;"",CHAR(160),""))="","OK",IF(NOT(ISNUMBER('AML.03.03'!$C$11)),$G140&amp;": "&amp;$H140,"OK"))</f>
        <v>OK</v>
      </c>
      <c r="J140" s="160" t="str">
        <f>IF(LEN(IF(VLOOKUP("AMLA_VR_AML.03.03_C0020_01",$A:$I,9,0)&lt;&gt;"OK",CHAR(10)&amp;VLOOKUP("AMLA_VR_AML.03.03_C0020_01",$A:$I,9,0),"")&amp;IF(VLOOKUP("AMLA_VR_AML.03.03_C0020_02",$A:$I,9,0)&lt;&gt;"OK",CHAR(10)&amp;VLOOKUP("AMLA_VR_AML.03.03_C0020_02",$A:$I,9,0),"")&amp;IF(VLOOKUP("AMLA_VR_AML.03.03_C0020_03",$A:$I,9,0)&lt;&gt;"OK",CHAR(10)&amp;VLOOKUP("AMLA_VR_AML.03.03_C0020_03",$A:$I,9,0),""))=0,"OK",MID(IF(VLOOKUP("AMLA_VR_AML.03.03_C0020_01",$A:$I,9,0)&lt;&gt;"OK",CHAR(10)&amp;VLOOKUP("AMLA_VR_AML.03.03_C0020_01",$A:$I,9,0),"")&amp;IF(VLOOKUP("AMLA_VR_AML.03.03_C0020_02",$A:$I,9,0)&lt;&gt;"OK",CHAR(10)&amp;VLOOKUP("AMLA_VR_AML.03.03_C0020_02",$A:$I,9,0),"")&amp;IF(VLOOKUP("AMLA_VR_AML.03.03_C0020_03",$A:$I,9,0)&lt;&gt;"OK",CHAR(10)&amp;VLOOKUP("AMLA_VR_AML.03.03_C0020_03",$A:$I,9,0),""),2,3000))</f>
        <v>OK</v>
      </c>
      <c r="K140" s="160" t="s">
        <v>1775</v>
      </c>
    </row>
    <row r="141" spans="1:11">
      <c r="A141" s="159" t="str">
        <f>"AMLA_VR_" &amp; B141 &amp; "_" &amp; C141 &amp; "_" &amp; TEXT(COUNTIFS($B$2:B141, B141, $C$2:C141, C141), "00")</f>
        <v>AMLA_VR_AML.03.03_C0020_03</v>
      </c>
      <c r="B141" s="157" t="s">
        <v>168</v>
      </c>
      <c r="C141" s="157" t="s">
        <v>82</v>
      </c>
      <c r="D141" s="157" t="s">
        <v>1550</v>
      </c>
      <c r="E141" s="160" t="str" cm="1">
        <f t="array" aca="1" ref="E141" ca="1">IF(C141="", INDIRECT("'"&amp;B141&amp;"'!B3"), INDEX(INDIRECT("'"&amp;B141&amp;"'!5:5"), COLUMN(INDIRECT("'"&amp;B141&amp;"'!"&amp;D141))))</f>
        <v>Prepaid Cards Issued - Value</v>
      </c>
      <c r="F141" s="157" t="s">
        <v>1772</v>
      </c>
      <c r="G141" s="157" t="s">
        <v>1813</v>
      </c>
      <c r="H141" s="158" t="s">
        <v>1844</v>
      </c>
      <c r="I141" s="157" t="str">
        <f>IF(AND('AML.03.03'!$C$11=0, 'AML.03.03'!$B$11&gt;0), $G141 &amp; ": " &amp; $H141, "OK")</f>
        <v>OK</v>
      </c>
      <c r="J141" s="157" t="str">
        <f>IF(LEN(IF(VLOOKUP("AMLA_VR_AML.03.03_C0020_01",$A:$I,9,0)&lt;&gt;"OK",CHAR(10)&amp;VLOOKUP("AMLA_VR_AML.03.03_C0020_01",$A:$I,9,0),"")&amp;IF(VLOOKUP("AMLA_VR_AML.03.03_C0020_02",$A:$I,9,0)&lt;&gt;"OK",CHAR(10)&amp;VLOOKUP("AMLA_VR_AML.03.03_C0020_02",$A:$I,9,0),"")&amp;IF(VLOOKUP("AMLA_VR_AML.03.03_C0020_03",$A:$I,9,0)&lt;&gt;"OK",CHAR(10)&amp;VLOOKUP("AMLA_VR_AML.03.03_C0020_03",$A:$I,9,0),""))=0,"OK",MID(IF(VLOOKUP("AMLA_VR_AML.03.03_C0020_01",$A:$I,9,0)&lt;&gt;"OK",CHAR(10)&amp;VLOOKUP("AMLA_VR_AML.03.03_C0020_01",$A:$I,9,0),"")&amp;IF(VLOOKUP("AMLA_VR_AML.03.03_C0020_02",$A:$I,9,0)&lt;&gt;"OK",CHAR(10)&amp;VLOOKUP("AMLA_VR_AML.03.03_C0020_02",$A:$I,9,0),"")&amp;IF(VLOOKUP("AMLA_VR_AML.03.03_C0020_03",$A:$I,9,0)&lt;&gt;"OK",CHAR(10)&amp;VLOOKUP("AMLA_VR_AML.03.03_C0020_03",$A:$I,9,0),""),2,3000))</f>
        <v>OK</v>
      </c>
      <c r="K141" s="157" t="s">
        <v>1775</v>
      </c>
    </row>
    <row r="142" spans="1:11">
      <c r="A142" s="159" t="str">
        <f>"AMLA_VR_" &amp; B142 &amp; "_" &amp; C142 &amp; "_" &amp; TEXT(COUNTIFS($B$2:B142, B142, $C$2:C142, C142), "00")</f>
        <v>AMLA_VR_AML.03.03_C0030_01</v>
      </c>
      <c r="B142" s="160" t="s">
        <v>168</v>
      </c>
      <c r="C142" s="160" t="s">
        <v>83</v>
      </c>
      <c r="D142" s="160" t="s">
        <v>1551</v>
      </c>
      <c r="E142" s="160" t="str" cm="1">
        <f t="array" aca="1" ref="E142" ca="1">IF(C142="", INDIRECT("'"&amp;B142&amp;"'!B3"), INDEX(INDIRECT("'"&amp;B142&amp;"'!5:5"), COLUMN(INDIRECT("'"&amp;B142&amp;"'!"&amp;D142))))</f>
        <v>Prepaid Cards - Outstanding Value</v>
      </c>
      <c r="F142" s="160" t="s">
        <v>1772</v>
      </c>
      <c r="G142" s="160" t="s">
        <v>1773</v>
      </c>
      <c r="H142" s="161" t="s">
        <v>1820</v>
      </c>
      <c r="I142" s="160" t="str">
        <f>IF('AML.03.03'!$D$11&lt;0, $G142 &amp; ": " &amp; $H142, "OK")</f>
        <v>OK</v>
      </c>
      <c r="J142" s="160" t="str">
        <f>IF(LEN(IF(VLOOKUP("AMLA_VR_AML.03.03_C0030_01",$A:$I,9,0)&lt;&gt;"OK",CHAR(10)&amp;VLOOKUP("AMLA_VR_AML.03.03_C0030_01",$A:$I,9,0),"")&amp;IF(VLOOKUP("AMLA_VR_AML.03.03_C0030_02",$A:$I,9,0)&lt;&gt;"OK",CHAR(10)&amp;VLOOKUP("AMLA_VR_AML.03.03_C0030_02",$A:$I,9,0),""))=0,"OK",MID(IF(VLOOKUP("AMLA_VR_AML.03.03_C0030_01",$A:$I,9,0)&lt;&gt;"OK",CHAR(10)&amp;VLOOKUP("AMLA_VR_AML.03.03_C0030_01",$A:$I,9,0),"")&amp;IF(VLOOKUP("AMLA_VR_AML.03.03_C0030_02",$A:$I,9,0)&lt;&gt;"OK",CHAR(10)&amp;VLOOKUP("AMLA_VR_AML.03.03_C0030_02",$A:$I,9,0),""),2,3000))</f>
        <v>OK</v>
      </c>
      <c r="K142" s="160" t="s">
        <v>1775</v>
      </c>
    </row>
    <row r="143" spans="1:11">
      <c r="A143" s="159" t="str">
        <f>"AMLA_VR_" &amp; B143 &amp; "_" &amp; C143 &amp; "_" &amp; TEXT(COUNTIFS($B$2:B143, B143, $C$2:C143, C143), "00")</f>
        <v>AMLA_VR_AML.03.03_C0030_02</v>
      </c>
      <c r="B143" s="157" t="s">
        <v>168</v>
      </c>
      <c r="C143" s="157" t="s">
        <v>83</v>
      </c>
      <c r="D143" s="157" t="s">
        <v>1551</v>
      </c>
      <c r="E143" s="160" t="str" cm="1">
        <f t="array" aca="1" ref="E143" ca="1">IF(C143="", INDIRECT("'"&amp;B143&amp;"'!B3"), INDEX(INDIRECT("'"&amp;B143&amp;"'!5:5"), COLUMN(INDIRECT("'"&amp;B143&amp;"'!"&amp;D143))))</f>
        <v>Prepaid Cards - Outstanding Value</v>
      </c>
      <c r="F143" s="157" t="s">
        <v>1776</v>
      </c>
      <c r="G143" s="157" t="s">
        <v>1773</v>
      </c>
      <c r="H143" s="158" t="s">
        <v>1837</v>
      </c>
      <c r="I143" s="157" t="str">
        <f>IF(TRIM(SUBSTITUTE('AML.03.03'!$D$11&amp;"",CHAR(160),""))="","OK",IF(NOT(ISNUMBER('AML.03.03'!$D$11)),$G143&amp;": "&amp;$H143,"OK"))</f>
        <v>OK</v>
      </c>
      <c r="J143" s="157" t="str">
        <f>IF(LEN(IF(VLOOKUP("AMLA_VR_AML.03.03_C0030_01",$A:$I,9,0)&lt;&gt;"OK",CHAR(10)&amp;VLOOKUP("AMLA_VR_AML.03.03_C0030_01",$A:$I,9,0),"")&amp;IF(VLOOKUP("AMLA_VR_AML.03.03_C0030_02",$A:$I,9,0)&lt;&gt;"OK",CHAR(10)&amp;VLOOKUP("AMLA_VR_AML.03.03_C0030_02",$A:$I,9,0),""))=0,"OK",MID(IF(VLOOKUP("AMLA_VR_AML.03.03_C0030_01",$A:$I,9,0)&lt;&gt;"OK",CHAR(10)&amp;VLOOKUP("AMLA_VR_AML.03.03_C0030_01",$A:$I,9,0),"")&amp;IF(VLOOKUP("AMLA_VR_AML.03.03_C0030_02",$A:$I,9,0)&lt;&gt;"OK",CHAR(10)&amp;VLOOKUP("AMLA_VR_AML.03.03_C0030_02",$A:$I,9,0),""),2,3000))</f>
        <v>OK</v>
      </c>
      <c r="K143" s="157" t="s">
        <v>1775</v>
      </c>
    </row>
    <row r="144" spans="1:11">
      <c r="A144" s="159" t="str">
        <f>"AMLA_VR_" &amp; B144 &amp; "_" &amp; C144 &amp; "_" &amp; TEXT(COUNTIFS($B$2:B144, B144, $C$2:C144, C144), "00")</f>
        <v>AMLA_VR_AML.03.03_C0040_01</v>
      </c>
      <c r="B144" s="157" t="s">
        <v>168</v>
      </c>
      <c r="C144" s="157" t="s">
        <v>84</v>
      </c>
      <c r="D144" s="157" t="s">
        <v>1552</v>
      </c>
      <c r="E144" s="160" t="str" cm="1">
        <f t="array" aca="1" ref="E144" ca="1">IF(C144="", INDIRECT("'"&amp;B144&amp;"'!B3"), INDEX(INDIRECT("'"&amp;B144&amp;"'!5:5"), COLUMN(INDIRECT("'"&amp;B144&amp;"'!"&amp;D144))))</f>
        <v>Customers Using Prepaid Cards</v>
      </c>
      <c r="F144" s="157" t="s">
        <v>1772</v>
      </c>
      <c r="G144" s="157" t="s">
        <v>1773</v>
      </c>
      <c r="H144" s="158" t="s">
        <v>1821</v>
      </c>
      <c r="I144" s="157" t="str">
        <f>IF('AML.03.03'!$E$11&lt;0, $G144 &amp; ": " &amp; $H144, "OK")</f>
        <v>OK</v>
      </c>
      <c r="J144" s="157" t="str">
        <f>IF(LEN(IF(VLOOKUP("AMLA_VR_AML.03.03_C0040_01",$A:$I,9,0)&lt;&gt;"OK",CHAR(10)&amp;VLOOKUP("AMLA_VR_AML.03.03_C0040_01",$A:$I,9,0),"")&amp;IF(VLOOKUP("AMLA_VR_AML.03.03_C0040_02",$A:$I,9,0)&lt;&gt;"OK",CHAR(10)&amp;VLOOKUP("AMLA_VR_AML.03.03_C0040_02",$A:$I,9,0),"")&amp;IF(VLOOKUP("AMLA_VR_AML.03.03_C0040_03",$A:$I,9,0)&lt;&gt;"OK",CHAR(10)&amp;VLOOKUP("AMLA_VR_AML.03.03_C0040_03",$A:$I,9,0),""))=0,"OK",MID(IF(VLOOKUP("AMLA_VR_AML.03.03_C0040_01",$A:$I,9,0)&lt;&gt;"OK",CHAR(10)&amp;VLOOKUP("AMLA_VR_AML.03.03_C0040_01",$A:$I,9,0),"")&amp;IF(VLOOKUP("AMLA_VR_AML.03.03_C0040_02",$A:$I,9,0)&lt;&gt;"OK",CHAR(10)&amp;VLOOKUP("AMLA_VR_AML.03.03_C0040_02",$A:$I,9,0),"")&amp;IF(VLOOKUP("AMLA_VR_AML.03.03_C0040_03",$A:$I,9,0)&lt;&gt;"OK",CHAR(10)&amp;VLOOKUP("AMLA_VR_AML.03.03_C0040_03",$A:$I,9,0),""),2,3000))</f>
        <v>OK</v>
      </c>
      <c r="K144" s="157" t="s">
        <v>1775</v>
      </c>
    </row>
    <row r="145" spans="1:11">
      <c r="A145" s="159" t="str">
        <f>"AMLA_VR_" &amp; B145 &amp; "_" &amp; C145 &amp; "_" &amp; TEXT(COUNTIFS($B$2:B145, B145, $C$2:C145, C145), "00")</f>
        <v>AMLA_VR_AML.03.03_C0040_02</v>
      </c>
      <c r="B145" s="160" t="s">
        <v>168</v>
      </c>
      <c r="C145" s="160" t="s">
        <v>84</v>
      </c>
      <c r="D145" s="160" t="s">
        <v>1552</v>
      </c>
      <c r="E145" s="160" t="str" cm="1">
        <f t="array" aca="1" ref="E145" ca="1">IF(C145="", INDIRECT("'"&amp;B145&amp;"'!B3"), INDEX(INDIRECT("'"&amp;B145&amp;"'!5:5"), COLUMN(INDIRECT("'"&amp;B145&amp;"'!"&amp;D145))))</f>
        <v>Customers Using Prepaid Cards</v>
      </c>
      <c r="F145" s="160" t="s">
        <v>1776</v>
      </c>
      <c r="G145" s="160" t="s">
        <v>1773</v>
      </c>
      <c r="H145" s="161" t="s">
        <v>1816</v>
      </c>
      <c r="I145" s="160" t="str">
        <f>IF(TRIM(SUBSTITUTE('AML.03.03'!$E$11&amp;"",CHAR(160),""))="","OK",IF(OR(NOT(ISNUMBER('AML.03.03'!$E$11)),IFERROR(INT('AML.03.03'!$E$11)&lt;&gt;'AML.03.03'!$E$11,TRUE)),$G145&amp;": "&amp;$H145,"OK"))</f>
        <v>OK</v>
      </c>
      <c r="J145" s="160" t="str">
        <f>IF(LEN(IF(VLOOKUP("AMLA_VR_AML.03.03_C0040_01",$A:$I,9,0)&lt;&gt;"OK",CHAR(10)&amp;VLOOKUP("AMLA_VR_AML.03.03_C0040_01",$A:$I,9,0),"")&amp;IF(VLOOKUP("AMLA_VR_AML.03.03_C0040_02",$A:$I,9,0)&lt;&gt;"OK",CHAR(10)&amp;VLOOKUP("AMLA_VR_AML.03.03_C0040_02",$A:$I,9,0),"")&amp;IF(VLOOKUP("AMLA_VR_AML.03.03_C0040_03",$A:$I,9,0)&lt;&gt;"OK",CHAR(10)&amp;VLOOKUP("AMLA_VR_AML.03.03_C0040_03",$A:$I,9,0),""))=0,"OK",MID(IF(VLOOKUP("AMLA_VR_AML.03.03_C0040_01",$A:$I,9,0)&lt;&gt;"OK",CHAR(10)&amp;VLOOKUP("AMLA_VR_AML.03.03_C0040_01",$A:$I,9,0),"")&amp;IF(VLOOKUP("AMLA_VR_AML.03.03_C0040_02",$A:$I,9,0)&lt;&gt;"OK",CHAR(10)&amp;VLOOKUP("AMLA_VR_AML.03.03_C0040_02",$A:$I,9,0),"")&amp;IF(VLOOKUP("AMLA_VR_AML.03.03_C0040_03",$A:$I,9,0)&lt;&gt;"OK",CHAR(10)&amp;VLOOKUP("AMLA_VR_AML.03.03_C0040_03",$A:$I,9,0),""),2,3000))</f>
        <v>OK</v>
      </c>
      <c r="K145" s="160" t="s">
        <v>1775</v>
      </c>
    </row>
    <row r="146" spans="1:11">
      <c r="A146" s="159" t="str">
        <f>"AMLA_VR_" &amp; B146 &amp; "_" &amp; C146 &amp; "_" &amp; TEXT(COUNTIFS($B$2:B146, B146, $C$2:C146, C146), "00")</f>
        <v>AMLA_VR_AML.03.03_C0040_03</v>
      </c>
      <c r="B146" s="160" t="s">
        <v>168</v>
      </c>
      <c r="C146" s="160" t="s">
        <v>84</v>
      </c>
      <c r="D146" s="160" t="s">
        <v>1552</v>
      </c>
      <c r="E146" s="160" t="str" cm="1">
        <f t="array" aca="1" ref="E146" ca="1">IF(C146="", INDIRECT("'"&amp;B146&amp;"'!B3"), INDEX(INDIRECT("'"&amp;B146&amp;"'!5:5"), COLUMN(INDIRECT("'"&amp;B146&amp;"'!"&amp;D146))))</f>
        <v>Customers Using Prepaid Cards</v>
      </c>
      <c r="F146" s="160" t="s">
        <v>1772</v>
      </c>
      <c r="G146" s="160" t="s">
        <v>1813</v>
      </c>
      <c r="H146" s="161" t="s">
        <v>1845</v>
      </c>
      <c r="I146" s="160" t="str">
        <f>IF(AND('AML.03.03'!$E$11=0, 'AML.03.03'!$B$11&gt;0), $G146 &amp; ": " &amp; $H146, "OK")</f>
        <v>OK</v>
      </c>
      <c r="J146" s="160" t="str">
        <f>IF(LEN(IF(VLOOKUP("AMLA_VR_AML.03.03_C0040_01",$A:$I,9,0)&lt;&gt;"OK",CHAR(10)&amp;VLOOKUP("AMLA_VR_AML.03.03_C0040_01",$A:$I,9,0),"")&amp;IF(VLOOKUP("AMLA_VR_AML.03.03_C0040_02",$A:$I,9,0)&lt;&gt;"OK",CHAR(10)&amp;VLOOKUP("AMLA_VR_AML.03.03_C0040_02",$A:$I,9,0),"")&amp;IF(VLOOKUP("AMLA_VR_AML.03.03_C0040_03",$A:$I,9,0)&lt;&gt;"OK",CHAR(10)&amp;VLOOKUP("AMLA_VR_AML.03.03_C0040_03",$A:$I,9,0),""))=0,"OK",MID(IF(VLOOKUP("AMLA_VR_AML.03.03_C0040_01",$A:$I,9,0)&lt;&gt;"OK",CHAR(10)&amp;VLOOKUP("AMLA_VR_AML.03.03_C0040_01",$A:$I,9,0),"")&amp;IF(VLOOKUP("AMLA_VR_AML.03.03_C0040_02",$A:$I,9,0)&lt;&gt;"OK",CHAR(10)&amp;VLOOKUP("AMLA_VR_AML.03.03_C0040_02",$A:$I,9,0),"")&amp;IF(VLOOKUP("AMLA_VR_AML.03.03_C0040_03",$A:$I,9,0)&lt;&gt;"OK",CHAR(10)&amp;VLOOKUP("AMLA_VR_AML.03.03_C0040_03",$A:$I,9,0),""),2,3000))</f>
        <v>OK</v>
      </c>
      <c r="K146" s="160" t="s">
        <v>1775</v>
      </c>
    </row>
    <row r="147" spans="1:11">
      <c r="A147" s="159" t="str">
        <f>"AMLA_VR_" &amp; B147 &amp; "_" &amp; C147 &amp; "_" &amp; TEXT(COUNTIFS($B$2:B147, B147, $C$2:C147, C147), "00")</f>
        <v>AMLA_VR_AML.03.03_C0050_01</v>
      </c>
      <c r="B147" s="157" t="s">
        <v>168</v>
      </c>
      <c r="C147" s="157" t="s">
        <v>85</v>
      </c>
      <c r="D147" s="157" t="s">
        <v>1553</v>
      </c>
      <c r="E147" s="160" t="str" cm="1">
        <f t="array" aca="1" ref="E147" ca="1">IF(C147="", INDIRECT("'"&amp;B147&amp;"'!B3"), INDEX(INDIRECT("'"&amp;B147&amp;"'!5:5"), COLUMN(INDIRECT("'"&amp;B147&amp;"'!"&amp;D147))))</f>
        <v>Customers with Multiple Prepaid Cards (&gt;3)</v>
      </c>
      <c r="F147" s="157" t="s">
        <v>1772</v>
      </c>
      <c r="G147" s="157" t="s">
        <v>1773</v>
      </c>
      <c r="H147" s="158" t="s">
        <v>1822</v>
      </c>
      <c r="I147" s="157" t="str">
        <f>IF('AML.03.03'!$F$11&lt;0, $G147 &amp; ": " &amp; $H147, "OK")</f>
        <v>OK</v>
      </c>
      <c r="J147" s="157" t="str">
        <f>IF(LEN(IF(VLOOKUP("AMLA_VR_AML.03.03_C0050_01",$A:$I,9,0)&lt;&gt;"OK",CHAR(10)&amp;VLOOKUP("AMLA_VR_AML.03.03_C0050_01",$A:$I,9,0),"")&amp;IF(VLOOKUP("AMLA_VR_AML.03.03_C0050_02",$A:$I,9,0)&lt;&gt;"OK",CHAR(10)&amp;VLOOKUP("AMLA_VR_AML.03.03_C0050_02",$A:$I,9,0),""))=0,"OK",MID(IF(VLOOKUP("AMLA_VR_AML.03.03_C0050_01",$A:$I,9,0)&lt;&gt;"OK",CHAR(10)&amp;VLOOKUP("AMLA_VR_AML.03.03_C0050_01",$A:$I,9,0),"")&amp;IF(VLOOKUP("AMLA_VR_AML.03.03_C0050_02",$A:$I,9,0)&lt;&gt;"OK",CHAR(10)&amp;VLOOKUP("AMLA_VR_AML.03.03_C0050_02",$A:$I,9,0),""),2,3000))</f>
        <v>OK</v>
      </c>
      <c r="K147" s="157" t="s">
        <v>1775</v>
      </c>
    </row>
    <row r="148" spans="1:11">
      <c r="A148" s="159" t="str">
        <f>"AMLA_VR_" &amp; B148 &amp; "_" &amp; C148 &amp; "_" &amp; TEXT(COUNTIFS($B$2:B148, B148, $C$2:C148, C148), "00")</f>
        <v>AMLA_VR_AML.03.03_C0050_02</v>
      </c>
      <c r="B148" s="157" t="s">
        <v>168</v>
      </c>
      <c r="C148" s="157" t="s">
        <v>85</v>
      </c>
      <c r="D148" s="157" t="s">
        <v>1553</v>
      </c>
      <c r="E148" s="160" t="str" cm="1">
        <f t="array" aca="1" ref="E148" ca="1">IF(C148="", INDIRECT("'"&amp;B148&amp;"'!B3"), INDEX(INDIRECT("'"&amp;B148&amp;"'!5:5"), COLUMN(INDIRECT("'"&amp;B148&amp;"'!"&amp;D148))))</f>
        <v>Customers with Multiple Prepaid Cards (&gt;3)</v>
      </c>
      <c r="F148" s="157" t="s">
        <v>1776</v>
      </c>
      <c r="G148" s="157" t="s">
        <v>1773</v>
      </c>
      <c r="H148" s="158" t="s">
        <v>1816</v>
      </c>
      <c r="I148" s="157" t="str">
        <f>IF(TRIM(SUBSTITUTE('AML.03.03'!$F$11&amp;"",CHAR(160),""))="","OK",IF(OR(NOT(ISNUMBER('AML.03.03'!$F$11)),IFERROR(INT('AML.03.03'!$F$11)&lt;&gt;'AML.03.03'!$F$11,TRUE)),$G148&amp;": "&amp;$H148,"OK"))</f>
        <v>OK</v>
      </c>
      <c r="J148" s="157" t="str">
        <f>IF(LEN(IF(VLOOKUP("AMLA_VR_AML.03.03_C0050_01",$A:$I,9,0)&lt;&gt;"OK",CHAR(10)&amp;VLOOKUP("AMLA_VR_AML.03.03_C0050_01",$A:$I,9,0),"")&amp;IF(VLOOKUP("AMLA_VR_AML.03.03_C0050_02",$A:$I,9,0)&lt;&gt;"OK",CHAR(10)&amp;VLOOKUP("AMLA_VR_AML.03.03_C0050_02",$A:$I,9,0),""))=0,"OK",MID(IF(VLOOKUP("AMLA_VR_AML.03.03_C0050_01",$A:$I,9,0)&lt;&gt;"OK",CHAR(10)&amp;VLOOKUP("AMLA_VR_AML.03.03_C0050_01",$A:$I,9,0),"")&amp;IF(VLOOKUP("AMLA_VR_AML.03.03_C0050_02",$A:$I,9,0)&lt;&gt;"OK",CHAR(10)&amp;VLOOKUP("AMLA_VR_AML.03.03_C0050_02",$A:$I,9,0),""),2,3000))</f>
        <v>OK</v>
      </c>
      <c r="K148" s="157" t="s">
        <v>1775</v>
      </c>
    </row>
    <row r="149" spans="1:11">
      <c r="A149" s="159" t="str">
        <f>"AMLA_VR_" &amp; B149 &amp; "_" &amp; C149 &amp; "_" &amp; TEXT(COUNTIFS($B$2:B149, B149, $C$2:C149, C149), "00")</f>
        <v>AMLA_VR_AML.03.04_C0010_01</v>
      </c>
      <c r="B149" s="160" t="s">
        <v>175</v>
      </c>
      <c r="C149" s="160" t="s">
        <v>81</v>
      </c>
      <c r="D149" s="160" t="s">
        <v>1549</v>
      </c>
      <c r="E149" s="160" t="str" cm="1">
        <f t="array" aca="1" ref="E149" ca="1">IF(C149="", INDIRECT("'"&amp;B149&amp;"'!B3"), INDEX(INDIRECT("'"&amp;B149&amp;"'!5:5"), COLUMN(INDIRECT("'"&amp;B149&amp;"'!"&amp;D149))))</f>
        <v>Outstanding Loans - Number</v>
      </c>
      <c r="F149" s="160" t="s">
        <v>1772</v>
      </c>
      <c r="G149" s="160" t="s">
        <v>1773</v>
      </c>
      <c r="H149" s="161" t="s">
        <v>1815</v>
      </c>
      <c r="I149" s="160" t="str">
        <f>IF('AML.03.04'!$B$11&lt;0, $G149 &amp; ": " &amp; $H149, "OK")</f>
        <v>OK</v>
      </c>
      <c r="J149" s="160" t="str">
        <f>IF(LEN(IF(VLOOKUP("AMLA_VR_AML.03.04_C0010_01",$A:$I,9,0)&lt;&gt;"OK",CHAR(10)&amp;VLOOKUP("AMLA_VR_AML.03.04_C0010_01",$A:$I,9,0),"")&amp;IF(VLOOKUP("AMLA_VR_AML.03.04_C0010_02",$A:$I,9,0)&lt;&gt;"OK",CHAR(10)&amp;VLOOKUP("AMLA_VR_AML.03.04_C0010_02",$A:$I,9,0),"")&amp;IF(VLOOKUP("AMLA_VR_AML.03.04_C0010_03",$A:$I,9,0)&lt;&gt;"OK",CHAR(10)&amp;VLOOKUP("AMLA_VR_AML.03.04_C0010_03",$A:$I,9,0),""))=0,"OK",MID(IF(VLOOKUP("AMLA_VR_AML.03.04_C0010_01",$A:$I,9,0)&lt;&gt;"OK",CHAR(10)&amp;VLOOKUP("AMLA_VR_AML.03.04_C0010_01",$A:$I,9,0),"")&amp;IF(VLOOKUP("AMLA_VR_AML.03.04_C0010_02",$A:$I,9,0)&lt;&gt;"OK",CHAR(10)&amp;VLOOKUP("AMLA_VR_AML.03.04_C0010_02",$A:$I,9,0),"")&amp;IF(VLOOKUP("AMLA_VR_AML.03.04_C0010_03",$A:$I,9,0)&lt;&gt;"OK",CHAR(10)&amp;VLOOKUP("AMLA_VR_AML.03.04_C0010_03",$A:$I,9,0),""),2,3000))</f>
        <v>OK</v>
      </c>
      <c r="K149" s="160" t="s">
        <v>1775</v>
      </c>
    </row>
    <row r="150" spans="1:11">
      <c r="A150" s="159" t="str">
        <f>"AMLA_VR_" &amp; B150 &amp; "_" &amp; C150 &amp; "_" &amp; TEXT(COUNTIFS($B$2:B150, B150, $C$2:C150, C150), "00")</f>
        <v>AMLA_VR_AML.03.04_C0010_02</v>
      </c>
      <c r="B150" s="160" t="s">
        <v>175</v>
      </c>
      <c r="C150" s="160" t="s">
        <v>81</v>
      </c>
      <c r="D150" s="160" t="s">
        <v>1549</v>
      </c>
      <c r="E150" s="160" t="str" cm="1">
        <f t="array" aca="1" ref="E150" ca="1">IF(C150="", INDIRECT("'"&amp;B150&amp;"'!B3"), INDEX(INDIRECT("'"&amp;B150&amp;"'!5:5"), COLUMN(INDIRECT("'"&amp;B150&amp;"'!"&amp;D150))))</f>
        <v>Outstanding Loans - Number</v>
      </c>
      <c r="F150" s="160" t="s">
        <v>1776</v>
      </c>
      <c r="G150" s="160" t="s">
        <v>1773</v>
      </c>
      <c r="H150" s="161" t="s">
        <v>1816</v>
      </c>
      <c r="I150" s="160" t="str">
        <f>IF(TRIM(SUBSTITUTE('AML.03.04'!$B$11&amp;"",CHAR(160),""))="","OK",IF(OR(NOT(ISNUMBER('AML.03.04'!$B$11)),IFERROR(INT('AML.03.04'!$B$11)&lt;&gt;'AML.03.04'!$B$11,TRUE)),$G150&amp;": "&amp;$H150,"OK"))</f>
        <v>OK</v>
      </c>
      <c r="J150" s="160" t="str">
        <f>IF(LEN(IF(VLOOKUP("AMLA_VR_AML.03.04_C0010_01",$A:$I,9,0)&lt;&gt;"OK",CHAR(10)&amp;VLOOKUP("AMLA_VR_AML.03.04_C0010_01",$A:$I,9,0),"")&amp;IF(VLOOKUP("AMLA_VR_AML.03.04_C0010_02",$A:$I,9,0)&lt;&gt;"OK",CHAR(10)&amp;VLOOKUP("AMLA_VR_AML.03.04_C0010_02",$A:$I,9,0),"")&amp;IF(VLOOKUP("AMLA_VR_AML.03.04_C0010_03",$A:$I,9,0)&lt;&gt;"OK",CHAR(10)&amp;VLOOKUP("AMLA_VR_AML.03.04_C0010_03",$A:$I,9,0),""))=0,"OK",MID(IF(VLOOKUP("AMLA_VR_AML.03.04_C0010_01",$A:$I,9,0)&lt;&gt;"OK",CHAR(10)&amp;VLOOKUP("AMLA_VR_AML.03.04_C0010_01",$A:$I,9,0),"")&amp;IF(VLOOKUP("AMLA_VR_AML.03.04_C0010_02",$A:$I,9,0)&lt;&gt;"OK",CHAR(10)&amp;VLOOKUP("AMLA_VR_AML.03.04_C0010_02",$A:$I,9,0),"")&amp;IF(VLOOKUP("AMLA_VR_AML.03.04_C0010_03",$A:$I,9,0)&lt;&gt;"OK",CHAR(10)&amp;VLOOKUP("AMLA_VR_AML.03.04_C0010_03",$A:$I,9,0),""),2,3000))</f>
        <v>OK</v>
      </c>
      <c r="K150" s="160" t="s">
        <v>1775</v>
      </c>
    </row>
    <row r="151" spans="1:11">
      <c r="A151" s="159" t="str">
        <f>"AMLA_VR_" &amp; B151 &amp; "_" &amp; C151 &amp; "_" &amp; TEXT(COUNTIFS($B$2:B151, B151, $C$2:C151, C151), "00")</f>
        <v>AMLA_VR_AML.03.04_C0010_03</v>
      </c>
      <c r="B151" s="157" t="s">
        <v>175</v>
      </c>
      <c r="C151" s="157" t="s">
        <v>81</v>
      </c>
      <c r="D151" s="157" t="s">
        <v>1549</v>
      </c>
      <c r="E151" s="160" t="str" cm="1">
        <f t="array" aca="1" ref="E151" ca="1">IF(C151="", INDIRECT("'"&amp;B151&amp;"'!B3"), INDEX(INDIRECT("'"&amp;B151&amp;"'!5:5"), COLUMN(INDIRECT("'"&amp;B151&amp;"'!"&amp;D151))))</f>
        <v>Outstanding Loans - Number</v>
      </c>
      <c r="F151" s="157" t="s">
        <v>1772</v>
      </c>
      <c r="G151" s="157" t="s">
        <v>1813</v>
      </c>
      <c r="H151" s="158" t="s">
        <v>1842</v>
      </c>
      <c r="I151" s="157" t="str">
        <f>IF(AND('AML.03.04'!$B$11=0, 'AML.03.04'!$C$11&gt;0), $G151 &amp; ": " &amp; $H151, "OK")</f>
        <v>OK</v>
      </c>
      <c r="J151" s="157" t="str">
        <f>IF(LEN(IF(VLOOKUP("AMLA_VR_AML.03.04_C0010_01",$A:$I,9,0)&lt;&gt;"OK",CHAR(10)&amp;VLOOKUP("AMLA_VR_AML.03.04_C0010_01",$A:$I,9,0),"")&amp;IF(VLOOKUP("AMLA_VR_AML.03.04_C0010_02",$A:$I,9,0)&lt;&gt;"OK",CHAR(10)&amp;VLOOKUP("AMLA_VR_AML.03.04_C0010_02",$A:$I,9,0),"")&amp;IF(VLOOKUP("AMLA_VR_AML.03.04_C0010_03",$A:$I,9,0)&lt;&gt;"OK",CHAR(10)&amp;VLOOKUP("AMLA_VR_AML.03.04_C0010_03",$A:$I,9,0),""))=0,"OK",MID(IF(VLOOKUP("AMLA_VR_AML.03.04_C0010_01",$A:$I,9,0)&lt;&gt;"OK",CHAR(10)&amp;VLOOKUP("AMLA_VR_AML.03.04_C0010_01",$A:$I,9,0),"")&amp;IF(VLOOKUP("AMLA_VR_AML.03.04_C0010_02",$A:$I,9,0)&lt;&gt;"OK",CHAR(10)&amp;VLOOKUP("AMLA_VR_AML.03.04_C0010_02",$A:$I,9,0),"")&amp;IF(VLOOKUP("AMLA_VR_AML.03.04_C0010_03",$A:$I,9,0)&lt;&gt;"OK",CHAR(10)&amp;VLOOKUP("AMLA_VR_AML.03.04_C0010_03",$A:$I,9,0),""),2,3000))</f>
        <v>OK</v>
      </c>
      <c r="K151" s="157" t="s">
        <v>1775</v>
      </c>
    </row>
    <row r="152" spans="1:11">
      <c r="A152" s="159" t="str">
        <f>"AMLA_VR_" &amp; B152 &amp; "_" &amp; C152 &amp; "_" &amp; TEXT(COUNTIFS($B$2:B152, B152, $C$2:C152, C152), "00")</f>
        <v>AMLA_VR_AML.03.04_C0020_01</v>
      </c>
      <c r="B152" s="160" t="s">
        <v>175</v>
      </c>
      <c r="C152" s="160" t="s">
        <v>82</v>
      </c>
      <c r="D152" s="160" t="s">
        <v>1550</v>
      </c>
      <c r="E152" s="160" t="str" cm="1">
        <f t="array" aca="1" ref="E152" ca="1">IF(C152="", INDIRECT("'"&amp;B152&amp;"'!B3"), INDEX(INDIRECT("'"&amp;B152&amp;"'!5:5"), COLUMN(INDIRECT("'"&amp;B152&amp;"'!"&amp;D152))))</f>
        <v>Outstanding Loans - Value</v>
      </c>
      <c r="F152" s="160" t="s">
        <v>1772</v>
      </c>
      <c r="G152" s="160" t="s">
        <v>1773</v>
      </c>
      <c r="H152" s="161" t="s">
        <v>1819</v>
      </c>
      <c r="I152" s="160" t="str">
        <f>IF('AML.03.04'!$C$11&lt;0, $G152 &amp; ": " &amp; $H152, "OK")</f>
        <v>OK</v>
      </c>
      <c r="J152" s="160" t="str">
        <f>IF(LEN(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0,"OK",MID(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2,3000))</f>
        <v>OK</v>
      </c>
      <c r="K152" s="160" t="s">
        <v>1775</v>
      </c>
    </row>
    <row r="153" spans="1:11">
      <c r="A153" s="159" t="str">
        <f>"AMLA_VR_" &amp; B153 &amp; "_" &amp; C153 &amp; "_" &amp; TEXT(COUNTIFS($B$2:B153, B153, $C$2:C153, C153), "00")</f>
        <v>AMLA_VR_AML.03.04_C0020_02</v>
      </c>
      <c r="B153" s="157" t="s">
        <v>175</v>
      </c>
      <c r="C153" s="157" t="s">
        <v>82</v>
      </c>
      <c r="D153" s="157" t="s">
        <v>1550</v>
      </c>
      <c r="E153" s="160" t="str" cm="1">
        <f t="array" aca="1" ref="E153" ca="1">IF(C153="", INDIRECT("'"&amp;B153&amp;"'!B3"), INDEX(INDIRECT("'"&amp;B153&amp;"'!5:5"), COLUMN(INDIRECT("'"&amp;B153&amp;"'!"&amp;D153))))</f>
        <v>Outstanding Loans - Value</v>
      </c>
      <c r="F153" s="157" t="s">
        <v>1776</v>
      </c>
      <c r="G153" s="157" t="s">
        <v>1773</v>
      </c>
      <c r="H153" s="158" t="s">
        <v>1837</v>
      </c>
      <c r="I153" s="157" t="str">
        <f>IF(TRIM(SUBSTITUTE('AML.03.04'!$C$11&amp;"",CHAR(160),""))="","OK",IF(NOT(ISNUMBER('AML.03.04'!$C$11)),$G153&amp;": "&amp;$H153,"OK"))</f>
        <v>OK</v>
      </c>
      <c r="J153" s="157" t="str">
        <f>IF(LEN(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0,"OK",MID(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2,3000))</f>
        <v>OK</v>
      </c>
      <c r="K153" s="157" t="s">
        <v>1775</v>
      </c>
    </row>
    <row r="154" spans="1:11">
      <c r="A154" s="159" t="str">
        <f>"AMLA_VR_" &amp; B154 &amp; "_" &amp; C154 &amp; "_" &amp; TEXT(COUNTIFS($B$2:B154, B154, $C$2:C154, C154), "00")</f>
        <v>AMLA_VR_AML.03.04_C0020_03</v>
      </c>
      <c r="B154" s="157" t="s">
        <v>175</v>
      </c>
      <c r="C154" s="157" t="s">
        <v>82</v>
      </c>
      <c r="D154" s="157" t="s">
        <v>1550</v>
      </c>
      <c r="E154" s="160" t="str" cm="1">
        <f t="array" aca="1" ref="E154" ca="1">IF(C154="", INDIRECT("'"&amp;B154&amp;"'!B3"), INDEX(INDIRECT("'"&amp;B154&amp;"'!5:5"), COLUMN(INDIRECT("'"&amp;B154&amp;"'!"&amp;D154))))</f>
        <v>Outstanding Loans - Value</v>
      </c>
      <c r="F154" s="157" t="s">
        <v>1772</v>
      </c>
      <c r="G154" s="157" t="s">
        <v>1813</v>
      </c>
      <c r="H154" s="158" t="s">
        <v>1844</v>
      </c>
      <c r="I154" s="157" t="str">
        <f>IF(AND('AML.03.04'!$C$11=0, 'AML.03.04'!$B$11&gt;0), $G154 &amp; ": " &amp; $H154, "OK")</f>
        <v>OK</v>
      </c>
      <c r="J154" s="157" t="str">
        <f>IF(LEN(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0,"OK",MID(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2,3000))</f>
        <v>OK</v>
      </c>
      <c r="K154" s="157" t="s">
        <v>1775</v>
      </c>
    </row>
    <row r="155" spans="1:11">
      <c r="A155" s="159" t="str">
        <f>"AMLA_VR_" &amp; B155 &amp; "_" &amp; C155 &amp; "_" &amp; TEXT(COUNTIFS($B$2:B155, B155, $C$2:C155, C155), "00")</f>
        <v>AMLA_VR_AML.03.04_C0020_04</v>
      </c>
      <c r="B155" s="160" t="s">
        <v>175</v>
      </c>
      <c r="C155" s="160" t="s">
        <v>82</v>
      </c>
      <c r="D155" s="160" t="s">
        <v>1550</v>
      </c>
      <c r="E155" s="160" t="str" cm="1">
        <f t="array" aca="1" ref="E155" ca="1">IF(C155="", INDIRECT("'"&amp;B155&amp;"'!B3"), INDEX(INDIRECT("'"&amp;B155&amp;"'!5:5"), COLUMN(INDIRECT("'"&amp;B155&amp;"'!"&amp;D155))))</f>
        <v>Outstanding Loans - Value</v>
      </c>
      <c r="F155" s="160" t="s">
        <v>1772</v>
      </c>
      <c r="G155" s="160" t="s">
        <v>1813</v>
      </c>
      <c r="H155" s="161" t="s">
        <v>1846</v>
      </c>
      <c r="I155" s="160" t="str">
        <f>IF(AND('AML.03.04'!$C$11=0, 'AML.03.04'!$G$11&gt;0), $G155 &amp; ": " &amp; $H155, "OK")</f>
        <v>OK</v>
      </c>
      <c r="J155" s="160" t="str">
        <f>IF(LEN(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0,"OK",MID(IF(VLOOKUP("AMLA_VR_AML.03.04_C0020_01",$A:$I,9,0)&lt;&gt;"OK",CHAR(10)&amp;VLOOKUP("AMLA_VR_AML.03.04_C0020_01",$A:$I,9,0),"")&amp;IF(VLOOKUP("AMLA_VR_AML.03.04_C0020_02",$A:$I,9,0)&lt;&gt;"OK",CHAR(10)&amp;VLOOKUP("AMLA_VR_AML.03.04_C0020_02",$A:$I,9,0),"")&amp;IF(VLOOKUP("AMLA_VR_AML.03.04_C0020_03",$A:$I,9,0)&lt;&gt;"OK",CHAR(10)&amp;VLOOKUP("AMLA_VR_AML.03.04_C0020_03",$A:$I,9,0),"")&amp;IF(VLOOKUP("AMLA_VR_AML.03.04_C0020_04",$A:$I,9,0)&lt;&gt;"OK",CHAR(10)&amp;VLOOKUP("AMLA_VR_AML.03.04_C0020_04",$A:$I,9,0),""),2,3000))</f>
        <v>OK</v>
      </c>
      <c r="K155" s="160" t="s">
        <v>1775</v>
      </c>
    </row>
    <row r="156" spans="1:11">
      <c r="A156" s="159" t="str">
        <f>"AMLA_VR_" &amp; B156 &amp; "_" &amp; C156 &amp; "_" &amp; TEXT(COUNTIFS($B$2:B156, B156, $C$2:C156, C156), "00")</f>
        <v>AMLA_VR_AML.03.04_C0030_01</v>
      </c>
      <c r="B156" s="157" t="s">
        <v>175</v>
      </c>
      <c r="C156" s="157" t="s">
        <v>83</v>
      </c>
      <c r="D156" s="157" t="s">
        <v>1551</v>
      </c>
      <c r="E156" s="160" t="str" cm="1">
        <f t="array" aca="1" ref="E156" ca="1">IF(C156="", INDIRECT("'"&amp;B156&amp;"'!B3"), INDEX(INDIRECT("'"&amp;B156&amp;"'!5:5"), COLUMN(INDIRECT("'"&amp;B156&amp;"'!"&amp;D156))))</f>
        <v>Outstanding Real Estate Loans - Number</v>
      </c>
      <c r="F156" s="157" t="s">
        <v>1772</v>
      </c>
      <c r="G156" s="157" t="s">
        <v>1773</v>
      </c>
      <c r="H156" s="158" t="s">
        <v>1820</v>
      </c>
      <c r="I156" s="157" t="str">
        <f>IF('AML.03.04'!$D$11&lt;0, $G156 &amp; ": " &amp; $H156, "OK")</f>
        <v>OK</v>
      </c>
      <c r="J156" s="157" t="str">
        <f>IF(LEN(IF(VLOOKUP("AMLA_VR_AML.03.04_C0030_01",$A:$I,9,0)&lt;&gt;"OK",CHAR(10)&amp;VLOOKUP("AMLA_VR_AML.03.04_C0030_01",$A:$I,9,0),"")&amp;IF(VLOOKUP("AMLA_VR_AML.03.04_C0030_02",$A:$I,9,0)&lt;&gt;"OK",CHAR(10)&amp;VLOOKUP("AMLA_VR_AML.03.04_C0030_02",$A:$I,9,0),""))=0,"OK",MID(IF(VLOOKUP("AMLA_VR_AML.03.04_C0030_01",$A:$I,9,0)&lt;&gt;"OK",CHAR(10)&amp;VLOOKUP("AMLA_VR_AML.03.04_C0030_01",$A:$I,9,0),"")&amp;IF(VLOOKUP("AMLA_VR_AML.03.04_C0030_02",$A:$I,9,0)&lt;&gt;"OK",CHAR(10)&amp;VLOOKUP("AMLA_VR_AML.03.04_C0030_02",$A:$I,9,0),""),2,3000))</f>
        <v>OK</v>
      </c>
      <c r="K156" s="157" t="s">
        <v>1775</v>
      </c>
    </row>
    <row r="157" spans="1:11">
      <c r="A157" s="159" t="str">
        <f>"AMLA_VR_" &amp; B157 &amp; "_" &amp; C157 &amp; "_" &amp; TEXT(COUNTIFS($B$2:B157, B157, $C$2:C157, C157), "00")</f>
        <v>AMLA_VR_AML.03.04_C0030_02</v>
      </c>
      <c r="B157" s="160" t="s">
        <v>175</v>
      </c>
      <c r="C157" s="160" t="s">
        <v>83</v>
      </c>
      <c r="D157" s="160" t="s">
        <v>1551</v>
      </c>
      <c r="E157" s="160" t="str" cm="1">
        <f t="array" aca="1" ref="E157" ca="1">IF(C157="", INDIRECT("'"&amp;B157&amp;"'!B3"), INDEX(INDIRECT("'"&amp;B157&amp;"'!5:5"), COLUMN(INDIRECT("'"&amp;B157&amp;"'!"&amp;D157))))</f>
        <v>Outstanding Real Estate Loans - Number</v>
      </c>
      <c r="F157" s="160" t="s">
        <v>1776</v>
      </c>
      <c r="G157" s="160" t="s">
        <v>1773</v>
      </c>
      <c r="H157" s="161" t="s">
        <v>1816</v>
      </c>
      <c r="I157" s="160" t="str">
        <f>IF(TRIM(SUBSTITUTE('AML.03.04'!$D$11&amp;"",CHAR(160),""))="","OK",IF(OR(NOT(ISNUMBER('AML.03.04'!$D$11)),IFERROR(INT('AML.03.04'!$D$11)&lt;&gt;'AML.03.04'!$D$11,TRUE)),$G157&amp;": "&amp;$H157,"OK"))</f>
        <v>OK</v>
      </c>
      <c r="J157" s="160" t="str">
        <f>IF(LEN(IF(VLOOKUP("AMLA_VR_AML.03.04_C0030_01",$A:$I,9,0)&lt;&gt;"OK",CHAR(10)&amp;VLOOKUP("AMLA_VR_AML.03.04_C0030_01",$A:$I,9,0),"")&amp;IF(VLOOKUP("AMLA_VR_AML.03.04_C0030_02",$A:$I,9,0)&lt;&gt;"OK",CHAR(10)&amp;VLOOKUP("AMLA_VR_AML.03.04_C0030_02",$A:$I,9,0),""))=0,"OK",MID(IF(VLOOKUP("AMLA_VR_AML.03.04_C0030_01",$A:$I,9,0)&lt;&gt;"OK",CHAR(10)&amp;VLOOKUP("AMLA_VR_AML.03.04_C0030_01",$A:$I,9,0),"")&amp;IF(VLOOKUP("AMLA_VR_AML.03.04_C0030_02",$A:$I,9,0)&lt;&gt;"OK",CHAR(10)&amp;VLOOKUP("AMLA_VR_AML.03.04_C0030_02",$A:$I,9,0),""),2,3000))</f>
        <v>OK</v>
      </c>
      <c r="K157" s="160" t="s">
        <v>1775</v>
      </c>
    </row>
    <row r="158" spans="1:11">
      <c r="A158" s="159" t="str">
        <f>"AMLA_VR_" &amp; B158 &amp; "_" &amp; C158 &amp; "_" &amp; TEXT(COUNTIFS($B$2:B158, B158, $C$2:C158, C158), "00")</f>
        <v>AMLA_VR_AML.03.04_C0040_01</v>
      </c>
      <c r="B158" s="160" t="s">
        <v>175</v>
      </c>
      <c r="C158" s="160" t="s">
        <v>84</v>
      </c>
      <c r="D158" s="160" t="s">
        <v>1552</v>
      </c>
      <c r="E158" s="160" t="str" cm="1">
        <f t="array" aca="1" ref="E158" ca="1">IF(C158="", INDIRECT("'"&amp;B158&amp;"'!B3"), INDEX(INDIRECT("'"&amp;B158&amp;"'!5:5"), COLUMN(INDIRECT("'"&amp;B158&amp;"'!"&amp;D158))))</f>
        <v>Real Estate Loans with Third-party Payments - Number</v>
      </c>
      <c r="F158" s="160" t="s">
        <v>1772</v>
      </c>
      <c r="G158" s="160" t="s">
        <v>1773</v>
      </c>
      <c r="H158" s="161" t="s">
        <v>1821</v>
      </c>
      <c r="I158" s="160" t="str">
        <f>IF('AML.03.04'!$E$11&lt;0, $G158 &amp; ": " &amp; $H158, "OK")</f>
        <v>OK</v>
      </c>
      <c r="J158" s="160" t="str">
        <f>IF(LEN(IF(VLOOKUP("AMLA_VR_AML.03.04_C0040_01",$A:$I,9,0)&lt;&gt;"OK",CHAR(10)&amp;VLOOKUP("AMLA_VR_AML.03.04_C0040_01",$A:$I,9,0),"")&amp;IF(VLOOKUP("AMLA_VR_AML.03.04_C0040_02",$A:$I,9,0)&lt;&gt;"OK",CHAR(10)&amp;VLOOKUP("AMLA_VR_AML.03.04_C0040_02",$A:$I,9,0),""))=0,"OK",MID(IF(VLOOKUP("AMLA_VR_AML.03.04_C0040_01",$A:$I,9,0)&lt;&gt;"OK",CHAR(10)&amp;VLOOKUP("AMLA_VR_AML.03.04_C0040_01",$A:$I,9,0),"")&amp;IF(VLOOKUP("AMLA_VR_AML.03.04_C0040_02",$A:$I,9,0)&lt;&gt;"OK",CHAR(10)&amp;VLOOKUP("AMLA_VR_AML.03.04_C0040_02",$A:$I,9,0),""),2,3000))</f>
        <v>OK</v>
      </c>
      <c r="K158" s="160" t="s">
        <v>1775</v>
      </c>
    </row>
    <row r="159" spans="1:11">
      <c r="A159" s="159" t="str">
        <f>"AMLA_VR_" &amp; B159 &amp; "_" &amp; C159 &amp; "_" &amp; TEXT(COUNTIFS($B$2:B159, B159, $C$2:C159, C159), "00")</f>
        <v>AMLA_VR_AML.03.04_C0040_02</v>
      </c>
      <c r="B159" s="157" t="s">
        <v>175</v>
      </c>
      <c r="C159" s="157" t="s">
        <v>84</v>
      </c>
      <c r="D159" s="157" t="s">
        <v>1552</v>
      </c>
      <c r="E159" s="160" t="str" cm="1">
        <f t="array" aca="1" ref="E159" ca="1">IF(C159="", INDIRECT("'"&amp;B159&amp;"'!B3"), INDEX(INDIRECT("'"&amp;B159&amp;"'!5:5"), COLUMN(INDIRECT("'"&amp;B159&amp;"'!"&amp;D159))))</f>
        <v>Real Estate Loans with Third-party Payments - Number</v>
      </c>
      <c r="F159" s="157" t="s">
        <v>1776</v>
      </c>
      <c r="G159" s="157" t="s">
        <v>1773</v>
      </c>
      <c r="H159" s="158" t="s">
        <v>1816</v>
      </c>
      <c r="I159" s="157" t="str">
        <f>IF(TRIM(SUBSTITUTE('AML.03.04'!$E$11&amp;"",CHAR(160),""))="","OK",IF(OR(NOT(ISNUMBER('AML.03.04'!$E$11)),IFERROR(INT('AML.03.04'!$E$11)&lt;&gt;'AML.03.04'!$E$11,TRUE)),$G159&amp;": "&amp;$H159,"OK"))</f>
        <v>OK</v>
      </c>
      <c r="J159" s="157" t="str">
        <f>IF(LEN(IF(VLOOKUP("AMLA_VR_AML.03.04_C0040_01",$A:$I,9,0)&lt;&gt;"OK",CHAR(10)&amp;VLOOKUP("AMLA_VR_AML.03.04_C0040_01",$A:$I,9,0),"")&amp;IF(VLOOKUP("AMLA_VR_AML.03.04_C0040_02",$A:$I,9,0)&lt;&gt;"OK",CHAR(10)&amp;VLOOKUP("AMLA_VR_AML.03.04_C0040_02",$A:$I,9,0),""))=0,"OK",MID(IF(VLOOKUP("AMLA_VR_AML.03.04_C0040_01",$A:$I,9,0)&lt;&gt;"OK",CHAR(10)&amp;VLOOKUP("AMLA_VR_AML.03.04_C0040_01",$A:$I,9,0),"")&amp;IF(VLOOKUP("AMLA_VR_AML.03.04_C0040_02",$A:$I,9,0)&lt;&gt;"OK",CHAR(10)&amp;VLOOKUP("AMLA_VR_AML.03.04_C0040_02",$A:$I,9,0),""),2,3000))</f>
        <v>OK</v>
      </c>
      <c r="K159" s="157" t="s">
        <v>1775</v>
      </c>
    </row>
    <row r="160" spans="1:11">
      <c r="A160" s="159" t="str">
        <f>"AMLA_VR_" &amp; B160 &amp; "_" &amp; C160 &amp; "_" &amp; TEXT(COUNTIFS($B$2:B160, B160, $C$2:C160, C160), "00")</f>
        <v>AMLA_VR_AML.03.04_C0050_01</v>
      </c>
      <c r="B160" s="157" t="s">
        <v>175</v>
      </c>
      <c r="C160" s="157" t="s">
        <v>85</v>
      </c>
      <c r="D160" s="157" t="s">
        <v>1553</v>
      </c>
      <c r="E160" s="160" t="str" cm="1">
        <f t="array" aca="1" ref="E160" ca="1">IF(C160="", INDIRECT("'"&amp;B160&amp;"'!B3"), INDEX(INDIRECT("'"&amp;B160&amp;"'!5:5"), COLUMN(INDIRECT("'"&amp;B160&amp;"'!"&amp;D160))))</f>
        <v>Loans Granted - Value</v>
      </c>
      <c r="F160" s="157" t="s">
        <v>1772</v>
      </c>
      <c r="G160" s="157" t="s">
        <v>1773</v>
      </c>
      <c r="H160" s="158" t="s">
        <v>1822</v>
      </c>
      <c r="I160" s="157" t="str">
        <f>IF('AML.03.04'!$F$11&lt;0, $G160 &amp; ": " &amp; $H160, "OK")</f>
        <v>OK</v>
      </c>
      <c r="J160" s="157" t="str">
        <f>IF(LEN(IF(VLOOKUP("AMLA_VR_AML.03.04_C0050_01",$A:$I,9,0)&lt;&gt;"OK",CHAR(10)&amp;VLOOKUP("AMLA_VR_AML.03.04_C0050_01",$A:$I,9,0),"")&amp;IF(VLOOKUP("AMLA_VR_AML.03.04_C0050_02",$A:$I,9,0)&lt;&gt;"OK",CHAR(10)&amp;VLOOKUP("AMLA_VR_AML.03.04_C0050_02",$A:$I,9,0),"")&amp;IF(VLOOKUP("AMLA_VR_AML.03.04_C0050_03",$A:$I,9,0)&lt;&gt;"OK",CHAR(10)&amp;VLOOKUP("AMLA_VR_AML.03.04_C0050_03",$A:$I,9,0),""))=0,"OK",MID(IF(VLOOKUP("AMLA_VR_AML.03.04_C0050_01",$A:$I,9,0)&lt;&gt;"OK",CHAR(10)&amp;VLOOKUP("AMLA_VR_AML.03.04_C0050_01",$A:$I,9,0),"")&amp;IF(VLOOKUP("AMLA_VR_AML.03.04_C0050_02",$A:$I,9,0)&lt;&gt;"OK",CHAR(10)&amp;VLOOKUP("AMLA_VR_AML.03.04_C0050_02",$A:$I,9,0),"")&amp;IF(VLOOKUP("AMLA_VR_AML.03.04_C0050_03",$A:$I,9,0)&lt;&gt;"OK",CHAR(10)&amp;VLOOKUP("AMLA_VR_AML.03.04_C0050_03",$A:$I,9,0),""),2,3000))</f>
        <v>OK</v>
      </c>
      <c r="K160" s="157" t="s">
        <v>1775</v>
      </c>
    </row>
    <row r="161" spans="1:11">
      <c r="A161" s="159" t="str">
        <f>"AMLA_VR_" &amp; B161 &amp; "_" &amp; C161 &amp; "_" &amp; TEXT(COUNTIFS($B$2:B161, B161, $C$2:C161, C161), "00")</f>
        <v>AMLA_VR_AML.03.04_C0050_02</v>
      </c>
      <c r="B161" s="160" t="s">
        <v>175</v>
      </c>
      <c r="C161" s="160" t="s">
        <v>85</v>
      </c>
      <c r="D161" s="160" t="s">
        <v>1553</v>
      </c>
      <c r="E161" s="160" t="str" cm="1">
        <f t="array" aca="1" ref="E161" ca="1">IF(C161="", INDIRECT("'"&amp;B161&amp;"'!B3"), INDEX(INDIRECT("'"&amp;B161&amp;"'!5:5"), COLUMN(INDIRECT("'"&amp;B161&amp;"'!"&amp;D161))))</f>
        <v>Loans Granted - Value</v>
      </c>
      <c r="F161" s="160" t="s">
        <v>1776</v>
      </c>
      <c r="G161" s="160" t="s">
        <v>1773</v>
      </c>
      <c r="H161" s="161" t="s">
        <v>1837</v>
      </c>
      <c r="I161" s="160" t="str">
        <f>IF(TRIM(SUBSTITUTE('AML.03.04'!$F$11&amp;"",CHAR(160),""))="","OK",IF(NOT(ISNUMBER('AML.03.04'!$F$11)),$G161&amp;": "&amp;$H161,"OK"))</f>
        <v>OK</v>
      </c>
      <c r="J161" s="160" t="str">
        <f>IF(LEN(IF(VLOOKUP("AMLA_VR_AML.03.04_C0050_01",$A:$I,9,0)&lt;&gt;"OK",CHAR(10)&amp;VLOOKUP("AMLA_VR_AML.03.04_C0050_01",$A:$I,9,0),"")&amp;IF(VLOOKUP("AMLA_VR_AML.03.04_C0050_02",$A:$I,9,0)&lt;&gt;"OK",CHAR(10)&amp;VLOOKUP("AMLA_VR_AML.03.04_C0050_02",$A:$I,9,0),"")&amp;IF(VLOOKUP("AMLA_VR_AML.03.04_C0050_03",$A:$I,9,0)&lt;&gt;"OK",CHAR(10)&amp;VLOOKUP("AMLA_VR_AML.03.04_C0050_03",$A:$I,9,0),""))=0,"OK",MID(IF(VLOOKUP("AMLA_VR_AML.03.04_C0050_01",$A:$I,9,0)&lt;&gt;"OK",CHAR(10)&amp;VLOOKUP("AMLA_VR_AML.03.04_C0050_01",$A:$I,9,0),"")&amp;IF(VLOOKUP("AMLA_VR_AML.03.04_C0050_02",$A:$I,9,0)&lt;&gt;"OK",CHAR(10)&amp;VLOOKUP("AMLA_VR_AML.03.04_C0050_02",$A:$I,9,0),"")&amp;IF(VLOOKUP("AMLA_VR_AML.03.04_C0050_03",$A:$I,9,0)&lt;&gt;"OK",CHAR(10)&amp;VLOOKUP("AMLA_VR_AML.03.04_C0050_03",$A:$I,9,0),""),2,3000))</f>
        <v>OK</v>
      </c>
      <c r="K161" s="160" t="s">
        <v>1775</v>
      </c>
    </row>
    <row r="162" spans="1:11">
      <c r="A162" s="159" t="str">
        <f>"AMLA_VR_" &amp; B162 &amp; "_" &amp; C162 &amp; "_" &amp; TEXT(COUNTIFS($B$2:B162, B162, $C$2:C162, C162), "00")</f>
        <v>AMLA_VR_AML.03.04_C0050_03</v>
      </c>
      <c r="B162" s="160" t="s">
        <v>175</v>
      </c>
      <c r="C162" s="160" t="s">
        <v>85</v>
      </c>
      <c r="D162" s="160" t="s">
        <v>1553</v>
      </c>
      <c r="E162" s="160" t="str" cm="1">
        <f t="array" aca="1" ref="E162" ca="1">IF(C162="", INDIRECT("'"&amp;B162&amp;"'!B3"), INDEX(INDIRECT("'"&amp;B162&amp;"'!5:5"), COLUMN(INDIRECT("'"&amp;B162&amp;"'!"&amp;D162))))</f>
        <v>Loans Granted - Value</v>
      </c>
      <c r="F162" s="160" t="s">
        <v>1772</v>
      </c>
      <c r="G162" s="160" t="s">
        <v>1813</v>
      </c>
      <c r="H162" s="161" t="s">
        <v>1847</v>
      </c>
      <c r="I162" s="160" t="str">
        <f>IF(AND('AML.03.04'!$F$11=0, 'AML.03.04'!$K$11&gt;0), $G162 &amp; ": " &amp; $H162, "OK")</f>
        <v>OK</v>
      </c>
      <c r="J162" s="160" t="str">
        <f>IF(LEN(IF(VLOOKUP("AMLA_VR_AML.03.04_C0050_01",$A:$I,9,0)&lt;&gt;"OK",CHAR(10)&amp;VLOOKUP("AMLA_VR_AML.03.04_C0050_01",$A:$I,9,0),"")&amp;IF(VLOOKUP("AMLA_VR_AML.03.04_C0050_02",$A:$I,9,0)&lt;&gt;"OK",CHAR(10)&amp;VLOOKUP("AMLA_VR_AML.03.04_C0050_02",$A:$I,9,0),"")&amp;IF(VLOOKUP("AMLA_VR_AML.03.04_C0050_03",$A:$I,9,0)&lt;&gt;"OK",CHAR(10)&amp;VLOOKUP("AMLA_VR_AML.03.04_C0050_03",$A:$I,9,0),""))=0,"OK",MID(IF(VLOOKUP("AMLA_VR_AML.03.04_C0050_01",$A:$I,9,0)&lt;&gt;"OK",CHAR(10)&amp;VLOOKUP("AMLA_VR_AML.03.04_C0050_01",$A:$I,9,0),"")&amp;IF(VLOOKUP("AMLA_VR_AML.03.04_C0050_02",$A:$I,9,0)&lt;&gt;"OK",CHAR(10)&amp;VLOOKUP("AMLA_VR_AML.03.04_C0050_02",$A:$I,9,0),"")&amp;IF(VLOOKUP("AMLA_VR_AML.03.04_C0050_03",$A:$I,9,0)&lt;&gt;"OK",CHAR(10)&amp;VLOOKUP("AMLA_VR_AML.03.04_C0050_03",$A:$I,9,0),""),2,3000))</f>
        <v>OK</v>
      </c>
      <c r="K162" s="160" t="s">
        <v>1775</v>
      </c>
    </row>
    <row r="163" spans="1:11">
      <c r="A163" s="159" t="str">
        <f>"AMLA_VR_" &amp; B163 &amp; "_" &amp; C163 &amp; "_" &amp; TEXT(COUNTIFS($B$2:B163, B163, $C$2:C163, C163), "00")</f>
        <v>AMLA_VR_AML.03.04_C0060_01</v>
      </c>
      <c r="B163" s="157" t="s">
        <v>175</v>
      </c>
      <c r="C163" s="157" t="s">
        <v>86</v>
      </c>
      <c r="D163" s="157" t="s">
        <v>1554</v>
      </c>
      <c r="E163" s="160" t="str" cm="1">
        <f t="array" aca="1" ref="E163" ca="1">IF(C163="", INDIRECT("'"&amp;B163&amp;"'!B3"), INDEX(INDIRECT("'"&amp;B163&amp;"'!5:5"), COLUMN(INDIRECT("'"&amp;B163&amp;"'!"&amp;D163))))</f>
        <v>Asset-backed Loans with Cash Collateral</v>
      </c>
      <c r="F163" s="157" t="s">
        <v>1772</v>
      </c>
      <c r="G163" s="157" t="s">
        <v>1773</v>
      </c>
      <c r="H163" s="158" t="s">
        <v>1823</v>
      </c>
      <c r="I163" s="157" t="str">
        <f>IF('AML.03.04'!$G$11&lt;0, $G163 &amp; ": " &amp; $H163, "OK")</f>
        <v>OK</v>
      </c>
      <c r="J163" s="157" t="str">
        <f>IF(LEN(IF(VLOOKUP("AMLA_VR_AML.03.04_C0060_01",$A:$I,9,0)&lt;&gt;"OK",CHAR(10)&amp;VLOOKUP("AMLA_VR_AML.03.04_C0060_01",$A:$I,9,0),"")&amp;IF(VLOOKUP("AMLA_VR_AML.03.04_C0060_02",$A:$I,9,0)&lt;&gt;"OK",CHAR(10)&amp;VLOOKUP("AMLA_VR_AML.03.04_C0060_02",$A:$I,9,0),""))=0,"OK",MID(IF(VLOOKUP("AMLA_VR_AML.03.04_C0060_01",$A:$I,9,0)&lt;&gt;"OK",CHAR(10)&amp;VLOOKUP("AMLA_VR_AML.03.04_C0060_01",$A:$I,9,0),"")&amp;IF(VLOOKUP("AMLA_VR_AML.03.04_C0060_02",$A:$I,9,0)&lt;&gt;"OK",CHAR(10)&amp;VLOOKUP("AMLA_VR_AML.03.04_C0060_02",$A:$I,9,0),""),2,3000))</f>
        <v>OK</v>
      </c>
      <c r="K163" s="157" t="s">
        <v>1775</v>
      </c>
    </row>
    <row r="164" spans="1:11">
      <c r="A164" s="159" t="str">
        <f>"AMLA_VR_" &amp; B164 &amp; "_" &amp; C164 &amp; "_" &amp; TEXT(COUNTIFS($B$2:B164, B164, $C$2:C164, C164), "00")</f>
        <v>AMLA_VR_AML.03.04_C0060_02</v>
      </c>
      <c r="B164" s="157" t="s">
        <v>175</v>
      </c>
      <c r="C164" s="157" t="s">
        <v>86</v>
      </c>
      <c r="D164" s="157" t="s">
        <v>1554</v>
      </c>
      <c r="E164" s="160" t="str" cm="1">
        <f t="array" aca="1" ref="E164" ca="1">IF(C164="", INDIRECT("'"&amp;B164&amp;"'!B3"), INDEX(INDIRECT("'"&amp;B164&amp;"'!5:5"), COLUMN(INDIRECT("'"&amp;B164&amp;"'!"&amp;D164))))</f>
        <v>Asset-backed Loans with Cash Collateral</v>
      </c>
      <c r="F164" s="157" t="s">
        <v>1776</v>
      </c>
      <c r="G164" s="157" t="s">
        <v>1773</v>
      </c>
      <c r="H164" s="158" t="s">
        <v>1816</v>
      </c>
      <c r="I164" s="157" t="str">
        <f>IF(TRIM(SUBSTITUTE('AML.03.04'!$G$11&amp;"",CHAR(160),""))="","OK",IF(OR(NOT(ISNUMBER('AML.03.04'!$G$11)),IFERROR(INT('AML.03.04'!$G$11)&lt;&gt;'AML.03.04'!$G$11,TRUE)),$G164&amp;": "&amp;$H164,"OK"))</f>
        <v>OK</v>
      </c>
      <c r="J164" s="157" t="str">
        <f>IF(LEN(IF(VLOOKUP("AMLA_VR_AML.03.04_C0060_01",$A:$I,9,0)&lt;&gt;"OK",CHAR(10)&amp;VLOOKUP("AMLA_VR_AML.03.04_C0060_01",$A:$I,9,0),"")&amp;IF(VLOOKUP("AMLA_VR_AML.03.04_C0060_02",$A:$I,9,0)&lt;&gt;"OK",CHAR(10)&amp;VLOOKUP("AMLA_VR_AML.03.04_C0060_02",$A:$I,9,0),""))=0,"OK",MID(IF(VLOOKUP("AMLA_VR_AML.03.04_C0060_01",$A:$I,9,0)&lt;&gt;"OK",CHAR(10)&amp;VLOOKUP("AMLA_VR_AML.03.04_C0060_01",$A:$I,9,0),"")&amp;IF(VLOOKUP("AMLA_VR_AML.03.04_C0060_02",$A:$I,9,0)&lt;&gt;"OK",CHAR(10)&amp;VLOOKUP("AMLA_VR_AML.03.04_C0060_02",$A:$I,9,0),""),2,3000))</f>
        <v>OK</v>
      </c>
      <c r="K164" s="157" t="s">
        <v>1775</v>
      </c>
    </row>
    <row r="165" spans="1:11">
      <c r="A165" s="159" t="str">
        <f>"AMLA_VR_" &amp; B165 &amp; "_" &amp; C165 &amp; "_" &amp; TEXT(COUNTIFS($B$2:B165, B165, $C$2:C165, C165), "00")</f>
        <v>AMLA_VR_AML.03.04_C0070_01</v>
      </c>
      <c r="B165" s="160" t="s">
        <v>175</v>
      </c>
      <c r="C165" s="160" t="s">
        <v>87</v>
      </c>
      <c r="D165" s="160" t="s">
        <v>1555</v>
      </c>
      <c r="E165" s="160" t="str" cm="1">
        <f t="array" aca="1" ref="E165" ca="1">IF(C165="", INDIRECT("'"&amp;B165&amp;"'!B3"), INDEX(INDIRECT("'"&amp;B165&amp;"'!5:5"), COLUMN(INDIRECT("'"&amp;B165&amp;"'!"&amp;D165))))</f>
        <v>Loan Repayments - Number</v>
      </c>
      <c r="F165" s="160" t="s">
        <v>1772</v>
      </c>
      <c r="G165" s="160" t="s">
        <v>1773</v>
      </c>
      <c r="H165" s="161" t="s">
        <v>1824</v>
      </c>
      <c r="I165" s="160" t="str">
        <f>IF('AML.03.04'!$H$11&lt;0, $G165 &amp; ": " &amp; $H165, "OK")</f>
        <v>OK</v>
      </c>
      <c r="J165" s="160" t="str">
        <f>IF(LEN(IF(VLOOKUP("AMLA_VR_AML.03.04_C0070_01",$A:$I,9,0)&lt;&gt;"OK",CHAR(10)&amp;VLOOKUP("AMLA_VR_AML.03.04_C0070_01",$A:$I,9,0),"")&amp;IF(VLOOKUP("AMLA_VR_AML.03.04_C0070_02",$A:$I,9,0)&lt;&gt;"OK",CHAR(10)&amp;VLOOKUP("AMLA_VR_AML.03.04_C0070_02",$A:$I,9,0),""))=0,"OK",MID(IF(VLOOKUP("AMLA_VR_AML.03.04_C0070_01",$A:$I,9,0)&lt;&gt;"OK",CHAR(10)&amp;VLOOKUP("AMLA_VR_AML.03.04_C0070_01",$A:$I,9,0),"")&amp;IF(VLOOKUP("AMLA_VR_AML.03.04_C0070_02",$A:$I,9,0)&lt;&gt;"OK",CHAR(10)&amp;VLOOKUP("AMLA_VR_AML.03.04_C0070_02",$A:$I,9,0),""),2,3000))</f>
        <v>OK</v>
      </c>
      <c r="K165" s="160" t="s">
        <v>1775</v>
      </c>
    </row>
    <row r="166" spans="1:11">
      <c r="A166" s="159" t="str">
        <f>"AMLA_VR_" &amp; B166 &amp; "_" &amp; C166 &amp; "_" &amp; TEXT(COUNTIFS($B$2:B166, B166, $C$2:C166, C166), "00")</f>
        <v>AMLA_VR_AML.03.04_C0070_02</v>
      </c>
      <c r="B166" s="160" t="s">
        <v>175</v>
      </c>
      <c r="C166" s="160" t="s">
        <v>87</v>
      </c>
      <c r="D166" s="160" t="s">
        <v>1555</v>
      </c>
      <c r="E166" s="160" t="str" cm="1">
        <f t="array" aca="1" ref="E166" ca="1">IF(C166="", INDIRECT("'"&amp;B166&amp;"'!B3"), INDEX(INDIRECT("'"&amp;B166&amp;"'!5:5"), COLUMN(INDIRECT("'"&amp;B166&amp;"'!"&amp;D166))))</f>
        <v>Loan Repayments - Number</v>
      </c>
      <c r="F166" s="160" t="s">
        <v>1776</v>
      </c>
      <c r="G166" s="160" t="s">
        <v>1773</v>
      </c>
      <c r="H166" s="161" t="s">
        <v>1816</v>
      </c>
      <c r="I166" s="160" t="str">
        <f>IF(TRIM(SUBSTITUTE('AML.03.04'!$H$11&amp;"",CHAR(160),""))="","OK",IF(OR(NOT(ISNUMBER('AML.03.04'!$H$11)),IFERROR(INT('AML.03.04'!$H$11)&lt;&gt;'AML.03.04'!$H$11,TRUE)),$G166&amp;": "&amp;$H166,"OK"))</f>
        <v>OK</v>
      </c>
      <c r="J166" s="160" t="str">
        <f>IF(LEN(IF(VLOOKUP("AMLA_VR_AML.03.04_C0070_01",$A:$I,9,0)&lt;&gt;"OK",CHAR(10)&amp;VLOOKUP("AMLA_VR_AML.03.04_C0070_01",$A:$I,9,0),"")&amp;IF(VLOOKUP("AMLA_VR_AML.03.04_C0070_02",$A:$I,9,0)&lt;&gt;"OK",CHAR(10)&amp;VLOOKUP("AMLA_VR_AML.03.04_C0070_02",$A:$I,9,0),""))=0,"OK",MID(IF(VLOOKUP("AMLA_VR_AML.03.04_C0070_01",$A:$I,9,0)&lt;&gt;"OK",CHAR(10)&amp;VLOOKUP("AMLA_VR_AML.03.04_C0070_01",$A:$I,9,0),"")&amp;IF(VLOOKUP("AMLA_VR_AML.03.04_C0070_02",$A:$I,9,0)&lt;&gt;"OK",CHAR(10)&amp;VLOOKUP("AMLA_VR_AML.03.04_C0070_02",$A:$I,9,0),""),2,3000))</f>
        <v>OK</v>
      </c>
      <c r="K166" s="160" t="s">
        <v>1775</v>
      </c>
    </row>
    <row r="167" spans="1:11">
      <c r="A167" s="159" t="str">
        <f>"AMLA_VR_" &amp; B167 &amp; "_" &amp; C167 &amp; "_" &amp; TEXT(COUNTIFS($B$2:B167, B167, $C$2:C167, C167), "00")</f>
        <v>AMLA_VR_AML.03.04_C0080_01</v>
      </c>
      <c r="B167" s="157" t="s">
        <v>175</v>
      </c>
      <c r="C167" s="157" t="s">
        <v>88</v>
      </c>
      <c r="D167" s="157" t="s">
        <v>1556</v>
      </c>
      <c r="E167" s="160" t="str" cm="1">
        <f t="array" aca="1" ref="E167" ca="1">IF(C167="", INDIRECT("'"&amp;B167&amp;"'!B3"), INDEX(INDIRECT("'"&amp;B167&amp;"'!5:5"), COLUMN(INDIRECT("'"&amp;B167&amp;"'!"&amp;D167))))</f>
        <v>Premature Loan Repayments - Number</v>
      </c>
      <c r="F167" s="157" t="s">
        <v>1772</v>
      </c>
      <c r="G167" s="157" t="s">
        <v>1773</v>
      </c>
      <c r="H167" s="158" t="s">
        <v>1825</v>
      </c>
      <c r="I167" s="157" t="str">
        <f>IF('AML.03.04'!$I$11&lt;0, $G167 &amp; ": " &amp; $H167, "OK")</f>
        <v>OK</v>
      </c>
      <c r="J167" s="157" t="str">
        <f>IF(LEN(IF(VLOOKUP("AMLA_VR_AML.03.04_C0080_01",$A:$I,9,0)&lt;&gt;"OK",CHAR(10)&amp;VLOOKUP("AMLA_VR_AML.03.04_C0080_01",$A:$I,9,0),"")&amp;IF(VLOOKUP("AMLA_VR_AML.03.04_C0080_02",$A:$I,9,0)&lt;&gt;"OK",CHAR(10)&amp;VLOOKUP("AMLA_VR_AML.03.04_C0080_02",$A:$I,9,0),""))=0,"OK",MID(IF(VLOOKUP("AMLA_VR_AML.03.04_C0080_01",$A:$I,9,0)&lt;&gt;"OK",CHAR(10)&amp;VLOOKUP("AMLA_VR_AML.03.04_C0080_01",$A:$I,9,0),"")&amp;IF(VLOOKUP("AMLA_VR_AML.03.04_C0080_02",$A:$I,9,0)&lt;&gt;"OK",CHAR(10)&amp;VLOOKUP("AMLA_VR_AML.03.04_C0080_02",$A:$I,9,0),""),2,3000))</f>
        <v>OK</v>
      </c>
      <c r="K167" s="157" t="s">
        <v>1775</v>
      </c>
    </row>
    <row r="168" spans="1:11">
      <c r="A168" s="159" t="str">
        <f>"AMLA_VR_" &amp; B168 &amp; "_" &amp; C168 &amp; "_" &amp; TEXT(COUNTIFS($B$2:B168, B168, $C$2:C168, C168), "00")</f>
        <v>AMLA_VR_AML.03.04_C0080_02</v>
      </c>
      <c r="B168" s="157" t="s">
        <v>175</v>
      </c>
      <c r="C168" s="157" t="s">
        <v>88</v>
      </c>
      <c r="D168" s="157" t="s">
        <v>1556</v>
      </c>
      <c r="E168" s="160" t="str" cm="1">
        <f t="array" aca="1" ref="E168" ca="1">IF(C168="", INDIRECT("'"&amp;B168&amp;"'!B3"), INDEX(INDIRECT("'"&amp;B168&amp;"'!5:5"), COLUMN(INDIRECT("'"&amp;B168&amp;"'!"&amp;D168))))</f>
        <v>Premature Loan Repayments - Number</v>
      </c>
      <c r="F168" s="157" t="s">
        <v>1776</v>
      </c>
      <c r="G168" s="157" t="s">
        <v>1773</v>
      </c>
      <c r="H168" s="158" t="s">
        <v>1816</v>
      </c>
      <c r="I168" s="157" t="str">
        <f>IF(TRIM(SUBSTITUTE('AML.03.04'!$I$11&amp;"",CHAR(160),""))="","OK",IF(OR(NOT(ISNUMBER('AML.03.04'!$I$11)),IFERROR(INT('AML.03.04'!$I$11)&lt;&gt;'AML.03.04'!$I$11,TRUE)),$G168&amp;": "&amp;$H168,"OK"))</f>
        <v>OK</v>
      </c>
      <c r="J168" s="157" t="str">
        <f>IF(LEN(IF(VLOOKUP("AMLA_VR_AML.03.04_C0080_01",$A:$I,9,0)&lt;&gt;"OK",CHAR(10)&amp;VLOOKUP("AMLA_VR_AML.03.04_C0080_01",$A:$I,9,0),"")&amp;IF(VLOOKUP("AMLA_VR_AML.03.04_C0080_02",$A:$I,9,0)&lt;&gt;"OK",CHAR(10)&amp;VLOOKUP("AMLA_VR_AML.03.04_C0080_02",$A:$I,9,0),""))=0,"OK",MID(IF(VLOOKUP("AMLA_VR_AML.03.04_C0080_01",$A:$I,9,0)&lt;&gt;"OK",CHAR(10)&amp;VLOOKUP("AMLA_VR_AML.03.04_C0080_01",$A:$I,9,0),"")&amp;IF(VLOOKUP("AMLA_VR_AML.03.04_C0080_02",$A:$I,9,0)&lt;&gt;"OK",CHAR(10)&amp;VLOOKUP("AMLA_VR_AML.03.04_C0080_02",$A:$I,9,0),""),2,3000))</f>
        <v>OK</v>
      </c>
      <c r="K168" s="157" t="s">
        <v>1775</v>
      </c>
    </row>
    <row r="169" spans="1:11">
      <c r="A169" s="159" t="str">
        <f>"AMLA_VR_" &amp; B169 &amp; "_" &amp; C169 &amp; "_" &amp; TEXT(COUNTIFS($B$2:B169, B169, $C$2:C169, C169), "00")</f>
        <v>AMLA_VR_AML.03.04_C0090_01</v>
      </c>
      <c r="B169" s="160" t="s">
        <v>175</v>
      </c>
      <c r="C169" s="160" t="s">
        <v>89</v>
      </c>
      <c r="D169" s="160" t="s">
        <v>1557</v>
      </c>
      <c r="E169" s="160" t="str" cm="1">
        <f t="array" aca="1" ref="E169" ca="1">IF(C169="", INDIRECT("'"&amp;B169&amp;"'!B3"), INDEX(INDIRECT("'"&amp;B169&amp;"'!5:5"), COLUMN(INDIRECT("'"&amp;B169&amp;"'!"&amp;D169))))</f>
        <v>Loan Repayments from Non-EEA Countries</v>
      </c>
      <c r="F169" s="160" t="s">
        <v>1772</v>
      </c>
      <c r="G169" s="160" t="s">
        <v>1773</v>
      </c>
      <c r="H169" s="161" t="s">
        <v>1826</v>
      </c>
      <c r="I169" s="160" t="str">
        <f>IF('AML.03.04'!$J$11&lt;0, $G169 &amp; ": " &amp; $H169, "OK")</f>
        <v>OK</v>
      </c>
      <c r="J169" s="160" t="str">
        <f>IF(LEN(IF(VLOOKUP("AMLA_VR_AML.03.04_C0090_01",$A:$I,9,0)&lt;&gt;"OK",CHAR(10)&amp;VLOOKUP("AMLA_VR_AML.03.04_C0090_01",$A:$I,9,0),"")&amp;IF(VLOOKUP("AMLA_VR_AML.03.04_C0090_02",$A:$I,9,0)&lt;&gt;"OK",CHAR(10)&amp;VLOOKUP("AMLA_VR_AML.03.04_C0090_02",$A:$I,9,0),""))=0,"OK",MID(IF(VLOOKUP("AMLA_VR_AML.03.04_C0090_01",$A:$I,9,0)&lt;&gt;"OK",CHAR(10)&amp;VLOOKUP("AMLA_VR_AML.03.04_C0090_01",$A:$I,9,0),"")&amp;IF(VLOOKUP("AMLA_VR_AML.03.04_C0090_02",$A:$I,9,0)&lt;&gt;"OK",CHAR(10)&amp;VLOOKUP("AMLA_VR_AML.03.04_C0090_02",$A:$I,9,0),""),2,3000))</f>
        <v>OK</v>
      </c>
      <c r="K169" s="160" t="s">
        <v>1775</v>
      </c>
    </row>
    <row r="170" spans="1:11">
      <c r="A170" s="159" t="str">
        <f>"AMLA_VR_" &amp; B170 &amp; "_" &amp; C170 &amp; "_" &amp; TEXT(COUNTIFS($B$2:B170, B170, $C$2:C170, C170), "00")</f>
        <v>AMLA_VR_AML.03.04_C0090_02</v>
      </c>
      <c r="B170" s="160" t="s">
        <v>175</v>
      </c>
      <c r="C170" s="160" t="s">
        <v>89</v>
      </c>
      <c r="D170" s="160" t="s">
        <v>1557</v>
      </c>
      <c r="E170" s="160" t="str" cm="1">
        <f t="array" aca="1" ref="E170" ca="1">IF(C170="", INDIRECT("'"&amp;B170&amp;"'!B3"), INDEX(INDIRECT("'"&amp;B170&amp;"'!5:5"), COLUMN(INDIRECT("'"&amp;B170&amp;"'!"&amp;D170))))</f>
        <v>Loan Repayments from Non-EEA Countries</v>
      </c>
      <c r="F170" s="160" t="s">
        <v>1776</v>
      </c>
      <c r="G170" s="160" t="s">
        <v>1773</v>
      </c>
      <c r="H170" s="161" t="s">
        <v>1816</v>
      </c>
      <c r="I170" s="160" t="str">
        <f>IF(TRIM(SUBSTITUTE('AML.03.04'!$J$11&amp;"",CHAR(160),""))="","OK",IF(OR(NOT(ISNUMBER('AML.03.04'!$J$11)),IFERROR(INT('AML.03.04'!$J$11)&lt;&gt;'AML.03.04'!$J$11,TRUE)),$G170&amp;": "&amp;$H170,"OK"))</f>
        <v>OK</v>
      </c>
      <c r="J170" s="160" t="str">
        <f>IF(LEN(IF(VLOOKUP("AMLA_VR_AML.03.04_C0090_01",$A:$I,9,0)&lt;&gt;"OK",CHAR(10)&amp;VLOOKUP("AMLA_VR_AML.03.04_C0090_01",$A:$I,9,0),"")&amp;IF(VLOOKUP("AMLA_VR_AML.03.04_C0090_02",$A:$I,9,0)&lt;&gt;"OK",CHAR(10)&amp;VLOOKUP("AMLA_VR_AML.03.04_C0090_02",$A:$I,9,0),""))=0,"OK",MID(IF(VLOOKUP("AMLA_VR_AML.03.04_C0090_01",$A:$I,9,0)&lt;&gt;"OK",CHAR(10)&amp;VLOOKUP("AMLA_VR_AML.03.04_C0090_01",$A:$I,9,0),"")&amp;IF(VLOOKUP("AMLA_VR_AML.03.04_C0090_02",$A:$I,9,0)&lt;&gt;"OK",CHAR(10)&amp;VLOOKUP("AMLA_VR_AML.03.04_C0090_02",$A:$I,9,0),""),2,3000))</f>
        <v>OK</v>
      </c>
      <c r="K170" s="160" t="s">
        <v>1775</v>
      </c>
    </row>
    <row r="171" spans="1:11">
      <c r="A171" s="159" t="str">
        <f>"AMLA_VR_" &amp; B171 &amp; "_" &amp; C171 &amp; "_" &amp; TEXT(COUNTIFS($B$2:B171, B171, $C$2:C171, C171), "00")</f>
        <v>AMLA_VR_AML.03.04_C0100_01</v>
      </c>
      <c r="B171" s="157" t="s">
        <v>175</v>
      </c>
      <c r="C171" s="157" t="s">
        <v>90</v>
      </c>
      <c r="D171" s="157" t="s">
        <v>1558</v>
      </c>
      <c r="E171" s="160" t="str" cm="1">
        <f t="array" aca="1" ref="E171" ca="1">IF(C171="", INDIRECT("'"&amp;B171&amp;"'!B3"), INDEX(INDIRECT("'"&amp;B171&amp;"'!5:5"), COLUMN(INDIRECT("'"&amp;B171&amp;"'!"&amp;D171))))</f>
        <v>Unspecified Consumer Loans - Number</v>
      </c>
      <c r="F171" s="157" t="s">
        <v>1772</v>
      </c>
      <c r="G171" s="157" t="s">
        <v>1773</v>
      </c>
      <c r="H171" s="158" t="s">
        <v>1827</v>
      </c>
      <c r="I171" s="157" t="str">
        <f>IF('AML.03.04'!$K$11&lt;0, $G171 &amp; ": " &amp; $H171, "OK")</f>
        <v>OK</v>
      </c>
      <c r="J171" s="157" t="str">
        <f>IF(LEN(IF(VLOOKUP("AMLA_VR_AML.03.04_C0100_01",$A:$I,9,0)&lt;&gt;"OK",CHAR(10)&amp;VLOOKUP("AMLA_VR_AML.03.04_C0100_01",$A:$I,9,0),"")&amp;IF(VLOOKUP("AMLA_VR_AML.03.04_C0100_02",$A:$I,9,0)&lt;&gt;"OK",CHAR(10)&amp;VLOOKUP("AMLA_VR_AML.03.04_C0100_02",$A:$I,9,0),""))=0,"OK",MID(IF(VLOOKUP("AMLA_VR_AML.03.04_C0100_01",$A:$I,9,0)&lt;&gt;"OK",CHAR(10)&amp;VLOOKUP("AMLA_VR_AML.03.04_C0100_01",$A:$I,9,0),"")&amp;IF(VLOOKUP("AMLA_VR_AML.03.04_C0100_02",$A:$I,9,0)&lt;&gt;"OK",CHAR(10)&amp;VLOOKUP("AMLA_VR_AML.03.04_C0100_02",$A:$I,9,0),""),2,3000))</f>
        <v>OK</v>
      </c>
      <c r="K171" s="157" t="s">
        <v>1775</v>
      </c>
    </row>
    <row r="172" spans="1:11">
      <c r="A172" s="159" t="str">
        <f>"AMLA_VR_" &amp; B172 &amp; "_" &amp; C172 &amp; "_" &amp; TEXT(COUNTIFS($B$2:B172, B172, $C$2:C172, C172), "00")</f>
        <v>AMLA_VR_AML.03.04_C0100_02</v>
      </c>
      <c r="B172" s="157" t="s">
        <v>175</v>
      </c>
      <c r="C172" s="157" t="s">
        <v>90</v>
      </c>
      <c r="D172" s="157" t="s">
        <v>1558</v>
      </c>
      <c r="E172" s="160" t="str" cm="1">
        <f t="array" aca="1" ref="E172" ca="1">IF(C172="", INDIRECT("'"&amp;B172&amp;"'!B3"), INDEX(INDIRECT("'"&amp;B172&amp;"'!5:5"), COLUMN(INDIRECT("'"&amp;B172&amp;"'!"&amp;D172))))</f>
        <v>Unspecified Consumer Loans - Number</v>
      </c>
      <c r="F172" s="157" t="s">
        <v>1776</v>
      </c>
      <c r="G172" s="157" t="s">
        <v>1773</v>
      </c>
      <c r="H172" s="158" t="s">
        <v>1816</v>
      </c>
      <c r="I172" s="157" t="str">
        <f>IF(TRIM(SUBSTITUTE('AML.03.04'!$K$11&amp;"",CHAR(160),""))="","OK",IF(OR(NOT(ISNUMBER('AML.03.04'!$K$11)),IFERROR(INT('AML.03.04'!$K$11)&lt;&gt;'AML.03.04'!$K$11,TRUE)),$G172&amp;": "&amp;$H172,"OK"))</f>
        <v>OK</v>
      </c>
      <c r="J172" s="157" t="str">
        <f>IF(LEN(IF(VLOOKUP("AMLA_VR_AML.03.04_C0100_01",$A:$I,9,0)&lt;&gt;"OK",CHAR(10)&amp;VLOOKUP("AMLA_VR_AML.03.04_C0100_01",$A:$I,9,0),"")&amp;IF(VLOOKUP("AMLA_VR_AML.03.04_C0100_02",$A:$I,9,0)&lt;&gt;"OK",CHAR(10)&amp;VLOOKUP("AMLA_VR_AML.03.04_C0100_02",$A:$I,9,0),""))=0,"OK",MID(IF(VLOOKUP("AMLA_VR_AML.03.04_C0100_01",$A:$I,9,0)&lt;&gt;"OK",CHAR(10)&amp;VLOOKUP("AMLA_VR_AML.03.04_C0100_01",$A:$I,9,0),"")&amp;IF(VLOOKUP("AMLA_VR_AML.03.04_C0100_02",$A:$I,9,0)&lt;&gt;"OK",CHAR(10)&amp;VLOOKUP("AMLA_VR_AML.03.04_C0100_02",$A:$I,9,0),""),2,3000))</f>
        <v>OK</v>
      </c>
      <c r="K172" s="157" t="s">
        <v>1775</v>
      </c>
    </row>
    <row r="173" spans="1:11">
      <c r="A173" s="159" t="str">
        <f>"AMLA_VR_" &amp; B173 &amp; "_" &amp; C173 &amp; "_" &amp; TEXT(COUNTIFS($B$2:B173, B173, $C$2:C173, C173), "00")</f>
        <v>AMLA_VR_AML.03.04_C0110_01</v>
      </c>
      <c r="B173" s="160" t="s">
        <v>175</v>
      </c>
      <c r="C173" s="160" t="s">
        <v>91</v>
      </c>
      <c r="D173" s="160" t="s">
        <v>1559</v>
      </c>
      <c r="E173" s="160" t="str" cm="1">
        <f t="array" aca="1" ref="E173" ca="1">IF(C173="", INDIRECT("'"&amp;B173&amp;"'!B3"), INDEX(INDIRECT("'"&amp;B173&amp;"'!5:5"), COLUMN(INDIRECT("'"&amp;B173&amp;"'!"&amp;D173))))</f>
        <v>Factoring Contracts Granted - Number</v>
      </c>
      <c r="F173" s="160" t="s">
        <v>1772</v>
      </c>
      <c r="G173" s="160" t="s">
        <v>1773</v>
      </c>
      <c r="H173" s="161" t="s">
        <v>1828</v>
      </c>
      <c r="I173" s="160" t="str">
        <f>IF('AML.03.04'!$L$11&lt;0, $G173 &amp; ": " &amp; $H173, "OK")</f>
        <v>OK</v>
      </c>
      <c r="J173" s="160" t="str">
        <f>IF(LEN(IF(VLOOKUP("AMLA_VR_AML.03.04_C0110_01",$A:$I,9,0)&lt;&gt;"OK",CHAR(10)&amp;VLOOKUP("AMLA_VR_AML.03.04_C0110_01",$A:$I,9,0),"")&amp;IF(VLOOKUP("AMLA_VR_AML.03.04_C0110_02",$A:$I,9,0)&lt;&gt;"OK",CHAR(10)&amp;VLOOKUP("AMLA_VR_AML.03.04_C0110_02",$A:$I,9,0),"")&amp;IF(VLOOKUP("AMLA_VR_AML.03.04_C0110_03",$A:$I,9,0)&lt;&gt;"OK",CHAR(10)&amp;VLOOKUP("AMLA_VR_AML.03.04_C0110_03",$A:$I,9,0),""))=0,"OK",MID(IF(VLOOKUP("AMLA_VR_AML.03.04_C0110_01",$A:$I,9,0)&lt;&gt;"OK",CHAR(10)&amp;VLOOKUP("AMLA_VR_AML.03.04_C0110_01",$A:$I,9,0),"")&amp;IF(VLOOKUP("AMLA_VR_AML.03.04_C0110_02",$A:$I,9,0)&lt;&gt;"OK",CHAR(10)&amp;VLOOKUP("AMLA_VR_AML.03.04_C0110_02",$A:$I,9,0),"")&amp;IF(VLOOKUP("AMLA_VR_AML.03.04_C0110_03",$A:$I,9,0)&lt;&gt;"OK",CHAR(10)&amp;VLOOKUP("AMLA_VR_AML.03.04_C0110_03",$A:$I,9,0),""),2,3000))</f>
        <v>OK</v>
      </c>
      <c r="K173" s="160" t="s">
        <v>1775</v>
      </c>
    </row>
    <row r="174" spans="1:11">
      <c r="A174" s="159" t="str">
        <f>"AMLA_VR_" &amp; B174 &amp; "_" &amp; C174 &amp; "_" &amp; TEXT(COUNTIFS($B$2:B174, B174, $C$2:C174, C174), "00")</f>
        <v>AMLA_VR_AML.03.04_C0110_02</v>
      </c>
      <c r="B174" s="160" t="s">
        <v>175</v>
      </c>
      <c r="C174" s="160" t="s">
        <v>91</v>
      </c>
      <c r="D174" s="160" t="s">
        <v>1559</v>
      </c>
      <c r="E174" s="160" t="str" cm="1">
        <f t="array" aca="1" ref="E174" ca="1">IF(C174="", INDIRECT("'"&amp;B174&amp;"'!B3"), INDEX(INDIRECT("'"&amp;B174&amp;"'!5:5"), COLUMN(INDIRECT("'"&amp;B174&amp;"'!"&amp;D174))))</f>
        <v>Factoring Contracts Granted - Number</v>
      </c>
      <c r="F174" s="160" t="s">
        <v>1776</v>
      </c>
      <c r="G174" s="160" t="s">
        <v>1773</v>
      </c>
      <c r="H174" s="161" t="s">
        <v>1816</v>
      </c>
      <c r="I174" s="160" t="str">
        <f>IF(TRIM(SUBSTITUTE('AML.03.04'!$L$11&amp;"",CHAR(160),""))="","OK",IF(OR(NOT(ISNUMBER('AML.03.04'!$L$11)),IFERROR(INT('AML.03.04'!$L$11)&lt;&gt;'AML.03.04'!$L$11,TRUE)),$G174&amp;": "&amp;$H174,"OK"))</f>
        <v>OK</v>
      </c>
      <c r="J174" s="160" t="str">
        <f>IF(LEN(IF(VLOOKUP("AMLA_VR_AML.03.04_C0110_01",$A:$I,9,0)&lt;&gt;"OK",CHAR(10)&amp;VLOOKUP("AMLA_VR_AML.03.04_C0110_01",$A:$I,9,0),"")&amp;IF(VLOOKUP("AMLA_VR_AML.03.04_C0110_02",$A:$I,9,0)&lt;&gt;"OK",CHAR(10)&amp;VLOOKUP("AMLA_VR_AML.03.04_C0110_02",$A:$I,9,0),"")&amp;IF(VLOOKUP("AMLA_VR_AML.03.04_C0110_03",$A:$I,9,0)&lt;&gt;"OK",CHAR(10)&amp;VLOOKUP("AMLA_VR_AML.03.04_C0110_03",$A:$I,9,0),""))=0,"OK",MID(IF(VLOOKUP("AMLA_VR_AML.03.04_C0110_01",$A:$I,9,0)&lt;&gt;"OK",CHAR(10)&amp;VLOOKUP("AMLA_VR_AML.03.04_C0110_01",$A:$I,9,0),"")&amp;IF(VLOOKUP("AMLA_VR_AML.03.04_C0110_02",$A:$I,9,0)&lt;&gt;"OK",CHAR(10)&amp;VLOOKUP("AMLA_VR_AML.03.04_C0110_02",$A:$I,9,0),"")&amp;IF(VLOOKUP("AMLA_VR_AML.03.04_C0110_03",$A:$I,9,0)&lt;&gt;"OK",CHAR(10)&amp;VLOOKUP("AMLA_VR_AML.03.04_C0110_03",$A:$I,9,0),""),2,3000))</f>
        <v>OK</v>
      </c>
      <c r="K174" s="160" t="s">
        <v>1775</v>
      </c>
    </row>
    <row r="175" spans="1:11">
      <c r="A175" s="159" t="str">
        <f>"AMLA_VR_" &amp; B175 &amp; "_" &amp; C175 &amp; "_" &amp; TEXT(COUNTIFS($B$2:B175, B175, $C$2:C175, C175), "00")</f>
        <v>AMLA_VR_AML.03.04_C0110_03</v>
      </c>
      <c r="B175" s="157" t="s">
        <v>175</v>
      </c>
      <c r="C175" s="157" t="s">
        <v>91</v>
      </c>
      <c r="D175" s="157" t="s">
        <v>1559</v>
      </c>
      <c r="E175" s="160" t="str" cm="1">
        <f t="array" aca="1" ref="E175" ca="1">IF(C175="", INDIRECT("'"&amp;B175&amp;"'!B3"), INDEX(INDIRECT("'"&amp;B175&amp;"'!5:5"), COLUMN(INDIRECT("'"&amp;B175&amp;"'!"&amp;D175))))</f>
        <v>Factoring Contracts Granted - Number</v>
      </c>
      <c r="F175" s="157" t="s">
        <v>1772</v>
      </c>
      <c r="G175" s="157" t="s">
        <v>1813</v>
      </c>
      <c r="H175" s="158" t="s">
        <v>1848</v>
      </c>
      <c r="I175" s="157" t="str">
        <f>IF(AND('AML.03.04'!$L$11=0, 'AML.03.04'!$M$11&gt;0), $G175 &amp; ": " &amp; $H175, "OK")</f>
        <v>OK</v>
      </c>
      <c r="J175" s="157" t="str">
        <f>IF(LEN(IF(VLOOKUP("AMLA_VR_AML.03.04_C0110_01",$A:$I,9,0)&lt;&gt;"OK",CHAR(10)&amp;VLOOKUP("AMLA_VR_AML.03.04_C0110_01",$A:$I,9,0),"")&amp;IF(VLOOKUP("AMLA_VR_AML.03.04_C0110_02",$A:$I,9,0)&lt;&gt;"OK",CHAR(10)&amp;VLOOKUP("AMLA_VR_AML.03.04_C0110_02",$A:$I,9,0),"")&amp;IF(VLOOKUP("AMLA_VR_AML.03.04_C0110_03",$A:$I,9,0)&lt;&gt;"OK",CHAR(10)&amp;VLOOKUP("AMLA_VR_AML.03.04_C0110_03",$A:$I,9,0),""))=0,"OK",MID(IF(VLOOKUP("AMLA_VR_AML.03.04_C0110_01",$A:$I,9,0)&lt;&gt;"OK",CHAR(10)&amp;VLOOKUP("AMLA_VR_AML.03.04_C0110_01",$A:$I,9,0),"")&amp;IF(VLOOKUP("AMLA_VR_AML.03.04_C0110_02",$A:$I,9,0)&lt;&gt;"OK",CHAR(10)&amp;VLOOKUP("AMLA_VR_AML.03.04_C0110_02",$A:$I,9,0),"")&amp;IF(VLOOKUP("AMLA_VR_AML.03.04_C0110_03",$A:$I,9,0)&lt;&gt;"OK",CHAR(10)&amp;VLOOKUP("AMLA_VR_AML.03.04_C0110_03",$A:$I,9,0),""),2,3000))</f>
        <v>OK</v>
      </c>
      <c r="K175" s="157" t="s">
        <v>1775</v>
      </c>
    </row>
    <row r="176" spans="1:11">
      <c r="A176" s="159" t="str">
        <f>"AMLA_VR_" &amp; B176 &amp; "_" &amp; C176 &amp; "_" &amp; TEXT(COUNTIFS($B$2:B176, B176, $C$2:C176, C176), "00")</f>
        <v>AMLA_VR_AML.03.04_C0120_01</v>
      </c>
      <c r="B176" s="160" t="s">
        <v>175</v>
      </c>
      <c r="C176" s="160" t="s">
        <v>92</v>
      </c>
      <c r="D176" s="160" t="s">
        <v>1560</v>
      </c>
      <c r="E176" s="160" t="str" cm="1">
        <f t="array" aca="1" ref="E176" ca="1">IF(C176="", INDIRECT("'"&amp;B176&amp;"'!B3"), INDEX(INDIRECT("'"&amp;B176&amp;"'!5:5"), COLUMN(INDIRECT("'"&amp;B176&amp;"'!"&amp;D176))))</f>
        <v>Factoring Contracts Granted - Value</v>
      </c>
      <c r="F176" s="160" t="s">
        <v>1772</v>
      </c>
      <c r="G176" s="160" t="s">
        <v>1773</v>
      </c>
      <c r="H176" s="161" t="s">
        <v>1829</v>
      </c>
      <c r="I176" s="160" t="str">
        <f>IF('AML.03.04'!$M$11&lt;0, $G176 &amp; ": " &amp; $H176, "OK")</f>
        <v>OK</v>
      </c>
      <c r="J176" s="160" t="str">
        <f>IF(LEN(IF(VLOOKUP("AMLA_VR_AML.03.04_C0120_01",$A:$I,9,0)&lt;&gt;"OK",CHAR(10)&amp;VLOOKUP("AMLA_VR_AML.03.04_C0120_01",$A:$I,9,0),"")&amp;IF(VLOOKUP("AMLA_VR_AML.03.04_C0120_02",$A:$I,9,0)&lt;&gt;"OK",CHAR(10)&amp;VLOOKUP("AMLA_VR_AML.03.04_C0120_02",$A:$I,9,0),"")&amp;IF(VLOOKUP("AMLA_VR_AML.03.04_C0120_03",$A:$I,9,0)&lt;&gt;"OK",CHAR(10)&amp;VLOOKUP("AMLA_VR_AML.03.04_C0120_03",$A:$I,9,0),""))=0,"OK",MID(IF(VLOOKUP("AMLA_VR_AML.03.04_C0120_01",$A:$I,9,0)&lt;&gt;"OK",CHAR(10)&amp;VLOOKUP("AMLA_VR_AML.03.04_C0120_01",$A:$I,9,0),"")&amp;IF(VLOOKUP("AMLA_VR_AML.03.04_C0120_02",$A:$I,9,0)&lt;&gt;"OK",CHAR(10)&amp;VLOOKUP("AMLA_VR_AML.03.04_C0120_02",$A:$I,9,0),"")&amp;IF(VLOOKUP("AMLA_VR_AML.03.04_C0120_03",$A:$I,9,0)&lt;&gt;"OK",CHAR(10)&amp;VLOOKUP("AMLA_VR_AML.03.04_C0120_03",$A:$I,9,0),""),2,3000))</f>
        <v>OK</v>
      </c>
      <c r="K176" s="160" t="s">
        <v>1775</v>
      </c>
    </row>
    <row r="177" spans="1:11">
      <c r="A177" s="159" t="str">
        <f>"AMLA_VR_" &amp; B177 &amp; "_" &amp; C177 &amp; "_" &amp; TEXT(COUNTIFS($B$2:B177, B177, $C$2:C177, C177), "00")</f>
        <v>AMLA_VR_AML.03.04_C0120_02</v>
      </c>
      <c r="B177" s="157" t="s">
        <v>175</v>
      </c>
      <c r="C177" s="157" t="s">
        <v>92</v>
      </c>
      <c r="D177" s="157" t="s">
        <v>1560</v>
      </c>
      <c r="E177" s="160" t="str" cm="1">
        <f t="array" aca="1" ref="E177" ca="1">IF(C177="", INDIRECT("'"&amp;B177&amp;"'!B3"), INDEX(INDIRECT("'"&amp;B177&amp;"'!5:5"), COLUMN(INDIRECT("'"&amp;B177&amp;"'!"&amp;D177))))</f>
        <v>Factoring Contracts Granted - Value</v>
      </c>
      <c r="F177" s="157" t="s">
        <v>1776</v>
      </c>
      <c r="G177" s="157" t="s">
        <v>1773</v>
      </c>
      <c r="H177" s="158" t="s">
        <v>1837</v>
      </c>
      <c r="I177" s="157" t="str">
        <f>IF(TRIM(SUBSTITUTE('AML.03.04'!$M$11&amp;"",CHAR(160),""))="","OK",IF(NOT(ISNUMBER('AML.03.04'!$M$11)),$G177&amp;": "&amp;$H177,"OK"))</f>
        <v>OK</v>
      </c>
      <c r="J177" s="157" t="str">
        <f>IF(LEN(IF(VLOOKUP("AMLA_VR_AML.03.04_C0120_01",$A:$I,9,0)&lt;&gt;"OK",CHAR(10)&amp;VLOOKUP("AMLA_VR_AML.03.04_C0120_01",$A:$I,9,0),"")&amp;IF(VLOOKUP("AMLA_VR_AML.03.04_C0120_02",$A:$I,9,0)&lt;&gt;"OK",CHAR(10)&amp;VLOOKUP("AMLA_VR_AML.03.04_C0120_02",$A:$I,9,0),"")&amp;IF(VLOOKUP("AMLA_VR_AML.03.04_C0120_03",$A:$I,9,0)&lt;&gt;"OK",CHAR(10)&amp;VLOOKUP("AMLA_VR_AML.03.04_C0120_03",$A:$I,9,0),""))=0,"OK",MID(IF(VLOOKUP("AMLA_VR_AML.03.04_C0120_01",$A:$I,9,0)&lt;&gt;"OK",CHAR(10)&amp;VLOOKUP("AMLA_VR_AML.03.04_C0120_01",$A:$I,9,0),"")&amp;IF(VLOOKUP("AMLA_VR_AML.03.04_C0120_02",$A:$I,9,0)&lt;&gt;"OK",CHAR(10)&amp;VLOOKUP("AMLA_VR_AML.03.04_C0120_02",$A:$I,9,0),"")&amp;IF(VLOOKUP("AMLA_VR_AML.03.04_C0120_03",$A:$I,9,0)&lt;&gt;"OK",CHAR(10)&amp;VLOOKUP("AMLA_VR_AML.03.04_C0120_03",$A:$I,9,0),""),2,3000))</f>
        <v>OK</v>
      </c>
      <c r="K177" s="157" t="s">
        <v>1775</v>
      </c>
    </row>
    <row r="178" spans="1:11">
      <c r="A178" s="159" t="str">
        <f>"AMLA_VR_" &amp; B178 &amp; "_" &amp; C178 &amp; "_" &amp; TEXT(COUNTIFS($B$2:B178, B178, $C$2:C178, C178), "00")</f>
        <v>AMLA_VR_AML.03.04_C0120_03</v>
      </c>
      <c r="B178" s="157" t="s">
        <v>175</v>
      </c>
      <c r="C178" s="157" t="s">
        <v>92</v>
      </c>
      <c r="D178" s="157" t="s">
        <v>1560</v>
      </c>
      <c r="E178" s="160" t="str" cm="1">
        <f t="array" aca="1" ref="E178" ca="1">IF(C178="", INDIRECT("'"&amp;B178&amp;"'!B3"), INDEX(INDIRECT("'"&amp;B178&amp;"'!5:5"), COLUMN(INDIRECT("'"&amp;B178&amp;"'!"&amp;D178))))</f>
        <v>Factoring Contracts Granted - Value</v>
      </c>
      <c r="F178" s="157" t="s">
        <v>1772</v>
      </c>
      <c r="G178" s="157" t="s">
        <v>1813</v>
      </c>
      <c r="H178" s="158" t="s">
        <v>1849</v>
      </c>
      <c r="I178" s="157" t="str">
        <f>IF(AND('AML.03.04'!$M$11=0, 'AML.03.04'!$L$11&gt;0), $G178 &amp; ": " &amp; $H178, "OK")</f>
        <v>OK</v>
      </c>
      <c r="J178" s="157" t="str">
        <f>IF(LEN(IF(VLOOKUP("AMLA_VR_AML.03.04_C0120_01",$A:$I,9,0)&lt;&gt;"OK",CHAR(10)&amp;VLOOKUP("AMLA_VR_AML.03.04_C0120_01",$A:$I,9,0),"")&amp;IF(VLOOKUP("AMLA_VR_AML.03.04_C0120_02",$A:$I,9,0)&lt;&gt;"OK",CHAR(10)&amp;VLOOKUP("AMLA_VR_AML.03.04_C0120_02",$A:$I,9,0),"")&amp;IF(VLOOKUP("AMLA_VR_AML.03.04_C0120_03",$A:$I,9,0)&lt;&gt;"OK",CHAR(10)&amp;VLOOKUP("AMLA_VR_AML.03.04_C0120_03",$A:$I,9,0),""))=0,"OK",MID(IF(VLOOKUP("AMLA_VR_AML.03.04_C0120_01",$A:$I,9,0)&lt;&gt;"OK",CHAR(10)&amp;VLOOKUP("AMLA_VR_AML.03.04_C0120_01",$A:$I,9,0),"")&amp;IF(VLOOKUP("AMLA_VR_AML.03.04_C0120_02",$A:$I,9,0)&lt;&gt;"OK",CHAR(10)&amp;VLOOKUP("AMLA_VR_AML.03.04_C0120_02",$A:$I,9,0),"")&amp;IF(VLOOKUP("AMLA_VR_AML.03.04_C0120_03",$A:$I,9,0)&lt;&gt;"OK",CHAR(10)&amp;VLOOKUP("AMLA_VR_AML.03.04_C0120_03",$A:$I,9,0),""),2,3000))</f>
        <v>OK</v>
      </c>
      <c r="K178" s="157" t="s">
        <v>1775</v>
      </c>
    </row>
    <row r="179" spans="1:11">
      <c r="A179" s="159" t="str">
        <f>"AMLA_VR_" &amp; B179 &amp; "_" &amp; C179 &amp; "_" &amp; TEXT(COUNTIFS($B$2:B179, B179, $C$2:C179, C179), "00")</f>
        <v>AMLA_VR_AML.03.04_C0130_01</v>
      </c>
      <c r="B179" s="160" t="s">
        <v>175</v>
      </c>
      <c r="C179" s="160" t="s">
        <v>93</v>
      </c>
      <c r="D179" s="160" t="s">
        <v>1561</v>
      </c>
      <c r="E179" s="160" t="str" cm="1">
        <f t="array" aca="1" ref="E179" ca="1">IF(C179="", INDIRECT("'"&amp;B179&amp;"'!B3"), INDEX(INDIRECT("'"&amp;B179&amp;"'!5:5"), COLUMN(INDIRECT("'"&amp;B179&amp;"'!"&amp;D179))))</f>
        <v>Factoring Contracts to Non-EEA Obligors - Value</v>
      </c>
      <c r="F179" s="160" t="s">
        <v>1772</v>
      </c>
      <c r="G179" s="160" t="s">
        <v>1773</v>
      </c>
      <c r="H179" s="161" t="s">
        <v>1831</v>
      </c>
      <c r="I179" s="160" t="str">
        <f>IF('AML.03.04'!$N$11&lt;0, $G179 &amp; ": " &amp; $H179, "OK")</f>
        <v>OK</v>
      </c>
      <c r="J179" s="160" t="str">
        <f>IF(LEN(IF(VLOOKUP("AMLA_VR_AML.03.04_C0130_01",$A:$I,9,0)&lt;&gt;"OK",CHAR(10)&amp;VLOOKUP("AMLA_VR_AML.03.04_C0130_01",$A:$I,9,0),"")&amp;IF(VLOOKUP("AMLA_VR_AML.03.04_C0130_02",$A:$I,9,0)&lt;&gt;"OK",CHAR(10)&amp;VLOOKUP("AMLA_VR_AML.03.04_C0130_02",$A:$I,9,0),""))=0,"OK",MID(IF(VLOOKUP("AMLA_VR_AML.03.04_C0130_01",$A:$I,9,0)&lt;&gt;"OK",CHAR(10)&amp;VLOOKUP("AMLA_VR_AML.03.04_C0130_01",$A:$I,9,0),"")&amp;IF(VLOOKUP("AMLA_VR_AML.03.04_C0130_02",$A:$I,9,0)&lt;&gt;"OK",CHAR(10)&amp;VLOOKUP("AMLA_VR_AML.03.04_C0130_02",$A:$I,9,0),""),2,3000))</f>
        <v>OK</v>
      </c>
      <c r="K179" s="160" t="s">
        <v>1775</v>
      </c>
    </row>
    <row r="180" spans="1:11">
      <c r="A180" s="159" t="str">
        <f>"AMLA_VR_" &amp; B180 &amp; "_" &amp; C180 &amp; "_" &amp; TEXT(COUNTIFS($B$2:B180, B180, $C$2:C180, C180), "00")</f>
        <v>AMLA_VR_AML.03.04_C0130_02</v>
      </c>
      <c r="B180" s="160" t="s">
        <v>175</v>
      </c>
      <c r="C180" s="160" t="s">
        <v>93</v>
      </c>
      <c r="D180" s="160" t="s">
        <v>1561</v>
      </c>
      <c r="E180" s="160" t="str" cm="1">
        <f t="array" aca="1" ref="E180" ca="1">IF(C180="", INDIRECT("'"&amp;B180&amp;"'!B3"), INDEX(INDIRECT("'"&amp;B180&amp;"'!5:5"), COLUMN(INDIRECT("'"&amp;B180&amp;"'!"&amp;D180))))</f>
        <v>Factoring Contracts to Non-EEA Obligors - Value</v>
      </c>
      <c r="F180" s="160" t="s">
        <v>1776</v>
      </c>
      <c r="G180" s="160" t="s">
        <v>1773</v>
      </c>
      <c r="H180" s="161" t="s">
        <v>1837</v>
      </c>
      <c r="I180" s="160" t="str">
        <f>IF(TRIM(SUBSTITUTE('AML.03.04'!$N$11&amp;"",CHAR(160),""))="","OK",IF(NOT(ISNUMBER('AML.03.04'!$N$11)),$G180&amp;": "&amp;$H180,"OK"))</f>
        <v>OK</v>
      </c>
      <c r="J180" s="160" t="str">
        <f>IF(LEN(IF(VLOOKUP("AMLA_VR_AML.03.04_C0130_01",$A:$I,9,0)&lt;&gt;"OK",CHAR(10)&amp;VLOOKUP("AMLA_VR_AML.03.04_C0130_01",$A:$I,9,0),"")&amp;IF(VLOOKUP("AMLA_VR_AML.03.04_C0130_02",$A:$I,9,0)&lt;&gt;"OK",CHAR(10)&amp;VLOOKUP("AMLA_VR_AML.03.04_C0130_02",$A:$I,9,0),""))=0,"OK",MID(IF(VLOOKUP("AMLA_VR_AML.03.04_C0130_01",$A:$I,9,0)&lt;&gt;"OK",CHAR(10)&amp;VLOOKUP("AMLA_VR_AML.03.04_C0130_01",$A:$I,9,0),"")&amp;IF(VLOOKUP("AMLA_VR_AML.03.04_C0130_02",$A:$I,9,0)&lt;&gt;"OK",CHAR(10)&amp;VLOOKUP("AMLA_VR_AML.03.04_C0130_02",$A:$I,9,0),""),2,3000))</f>
        <v>OK</v>
      </c>
      <c r="K180" s="160" t="s">
        <v>1775</v>
      </c>
    </row>
    <row r="181" spans="1:11">
      <c r="A181" s="159" t="str">
        <f>"AMLA_VR_" &amp; B181 &amp; "_" &amp; C181 &amp; "_" &amp; TEXT(COUNTIFS($B$2:B181, B181, $C$2:C181, C181), "00")</f>
        <v>AMLA_VR_AML.03.05_C0010_01</v>
      </c>
      <c r="B181" s="157" t="s">
        <v>192</v>
      </c>
      <c r="C181" s="157" t="s">
        <v>81</v>
      </c>
      <c r="D181" s="157" t="s">
        <v>1549</v>
      </c>
      <c r="E181" s="160" t="str" cm="1">
        <f t="array" aca="1" ref="E181" ca="1">IF(C181="", INDIRECT("'"&amp;B181&amp;"'!B3"), INDEX(INDIRECT("'"&amp;B181&amp;"'!5:5"), COLUMN(INDIRECT("'"&amp;B181&amp;"'!"&amp;D181))))</f>
        <v>Gross Written Premiums - Value</v>
      </c>
      <c r="F181" s="157" t="s">
        <v>1772</v>
      </c>
      <c r="G181" s="157" t="s">
        <v>1773</v>
      </c>
      <c r="H181" s="158" t="s">
        <v>1815</v>
      </c>
      <c r="I181" s="157" t="str">
        <f>IF('AML.03.05'!$B$11&lt;0, $G181 &amp; ": " &amp; $H181, "OK")</f>
        <v>OK</v>
      </c>
      <c r="J181" s="157" t="str">
        <f>IF(LEN(IF(VLOOKUP("AMLA_VR_AML.03.05_C0010_01",$A:$I,9,0)&lt;&gt;"OK",CHAR(10)&amp;VLOOKUP("AMLA_VR_AML.03.05_C0010_01",$A:$I,9,0),"")&amp;IF(VLOOKUP("AMLA_VR_AML.03.05_C0010_02",$A:$I,9,0)&lt;&gt;"OK",CHAR(10)&amp;VLOOKUP("AMLA_VR_AML.03.05_C0010_02",$A:$I,9,0),""))=0,"OK",MID(IF(VLOOKUP("AMLA_VR_AML.03.05_C0010_01",$A:$I,9,0)&lt;&gt;"OK",CHAR(10)&amp;VLOOKUP("AMLA_VR_AML.03.05_C0010_01",$A:$I,9,0),"")&amp;IF(VLOOKUP("AMLA_VR_AML.03.05_C0010_02",$A:$I,9,0)&lt;&gt;"OK",CHAR(10)&amp;VLOOKUP("AMLA_VR_AML.03.05_C0010_02",$A:$I,9,0),""),2,3000))</f>
        <v>OK</v>
      </c>
      <c r="K181" s="157" t="s">
        <v>1775</v>
      </c>
    </row>
    <row r="182" spans="1:11">
      <c r="A182" s="159" t="str">
        <f>"AMLA_VR_" &amp; B182 &amp; "_" &amp; C182 &amp; "_" &amp; TEXT(COUNTIFS($B$2:B182, B182, $C$2:C182, C182), "00")</f>
        <v>AMLA_VR_AML.03.05_C0010_02</v>
      </c>
      <c r="B182" s="157" t="s">
        <v>192</v>
      </c>
      <c r="C182" s="157" t="s">
        <v>81</v>
      </c>
      <c r="D182" s="157" t="s">
        <v>1549</v>
      </c>
      <c r="E182" s="160" t="str" cm="1">
        <f t="array" aca="1" ref="E182" ca="1">IF(C182="", INDIRECT("'"&amp;B182&amp;"'!B3"), INDEX(INDIRECT("'"&amp;B182&amp;"'!5:5"), COLUMN(INDIRECT("'"&amp;B182&amp;"'!"&amp;D182))))</f>
        <v>Gross Written Premiums - Value</v>
      </c>
      <c r="F182" s="157" t="s">
        <v>1776</v>
      </c>
      <c r="G182" s="157" t="s">
        <v>1773</v>
      </c>
      <c r="H182" s="158" t="s">
        <v>1837</v>
      </c>
      <c r="I182" s="157" t="str">
        <f>IF(TRIM(SUBSTITUTE('AML.03.05'!$B$11&amp;"",CHAR(160),""))="","OK",IF(NOT(ISNUMBER('AML.03.05'!$B$11)),$G182&amp;": "&amp;$H182,"OK"))</f>
        <v>OK</v>
      </c>
      <c r="J182" s="157" t="str">
        <f>IF(LEN(IF(VLOOKUP("AMLA_VR_AML.03.05_C0010_01",$A:$I,9,0)&lt;&gt;"OK",CHAR(10)&amp;VLOOKUP("AMLA_VR_AML.03.05_C0010_01",$A:$I,9,0),"")&amp;IF(VLOOKUP("AMLA_VR_AML.03.05_C0010_02",$A:$I,9,0)&lt;&gt;"OK",CHAR(10)&amp;VLOOKUP("AMLA_VR_AML.03.05_C0010_02",$A:$I,9,0),""))=0,"OK",MID(IF(VLOOKUP("AMLA_VR_AML.03.05_C0010_01",$A:$I,9,0)&lt;&gt;"OK",CHAR(10)&amp;VLOOKUP("AMLA_VR_AML.03.05_C0010_01",$A:$I,9,0),"")&amp;IF(VLOOKUP("AMLA_VR_AML.03.05_C0010_02",$A:$I,9,0)&lt;&gt;"OK",CHAR(10)&amp;VLOOKUP("AMLA_VR_AML.03.05_C0010_02",$A:$I,9,0),""),2,3000))</f>
        <v>OK</v>
      </c>
      <c r="K182" s="157" t="s">
        <v>1775</v>
      </c>
    </row>
    <row r="183" spans="1:11">
      <c r="A183" s="159" t="str">
        <f>"AMLA_VR_" &amp; B183 &amp; "_" &amp; C183 &amp; "_" &amp; TEXT(COUNTIFS($B$2:B183, B183, $C$2:C183, C183), "00")</f>
        <v>AMLA_VR_AML.03.05_C0020_01</v>
      </c>
      <c r="B183" s="160" t="s">
        <v>192</v>
      </c>
      <c r="C183" s="160" t="s">
        <v>82</v>
      </c>
      <c r="D183" s="160" t="s">
        <v>1550</v>
      </c>
      <c r="E183" s="160" t="str" cm="1">
        <f t="array" aca="1" ref="E183" ca="1">IF(C183="", INDIRECT("'"&amp;B183&amp;"'!B3"), INDEX(INDIRECT("'"&amp;B183&amp;"'!5:5"), COLUMN(INDIRECT("'"&amp;B183&amp;"'!"&amp;D183))))</f>
        <v>Surrender Value of Insurance Contracts</v>
      </c>
      <c r="F183" s="160" t="s">
        <v>1772</v>
      </c>
      <c r="G183" s="160" t="s">
        <v>1773</v>
      </c>
      <c r="H183" s="161" t="s">
        <v>1819</v>
      </c>
      <c r="I183" s="160" t="str">
        <f>IF('AML.03.05'!$C$11&lt;0, $G183 &amp; ": " &amp; $H183, "OK")</f>
        <v>OK</v>
      </c>
      <c r="J183" s="160" t="str">
        <f>IF(LEN(IF(VLOOKUP("AMLA_VR_AML.03.05_C0020_01",$A:$I,9,0)&lt;&gt;"OK",CHAR(10)&amp;VLOOKUP("AMLA_VR_AML.03.05_C0020_01",$A:$I,9,0),"")&amp;IF(VLOOKUP("AMLA_VR_AML.03.05_C0020_02",$A:$I,9,0)&lt;&gt;"OK",CHAR(10)&amp;VLOOKUP("AMLA_VR_AML.03.05_C0020_02",$A:$I,9,0),""))=0,"OK",MID(IF(VLOOKUP("AMLA_VR_AML.03.05_C0020_01",$A:$I,9,0)&lt;&gt;"OK",CHAR(10)&amp;VLOOKUP("AMLA_VR_AML.03.05_C0020_01",$A:$I,9,0),"")&amp;IF(VLOOKUP("AMLA_VR_AML.03.05_C0020_02",$A:$I,9,0)&lt;&gt;"OK",CHAR(10)&amp;VLOOKUP("AMLA_VR_AML.03.05_C0020_02",$A:$I,9,0),""),2,3000))</f>
        <v>OK</v>
      </c>
      <c r="K183" s="160" t="s">
        <v>1775</v>
      </c>
    </row>
    <row r="184" spans="1:11">
      <c r="A184" s="159" t="str">
        <f>"AMLA_VR_" &amp; B184 &amp; "_" &amp; C184 &amp; "_" &amp; TEXT(COUNTIFS($B$2:B184, B184, $C$2:C184, C184), "00")</f>
        <v>AMLA_VR_AML.03.05_C0020_02</v>
      </c>
      <c r="B184" s="160" t="s">
        <v>192</v>
      </c>
      <c r="C184" s="160" t="s">
        <v>82</v>
      </c>
      <c r="D184" s="160" t="s">
        <v>1550</v>
      </c>
      <c r="E184" s="160" t="str" cm="1">
        <f t="array" aca="1" ref="E184" ca="1">IF(C184="", INDIRECT("'"&amp;B184&amp;"'!B3"), INDEX(INDIRECT("'"&amp;B184&amp;"'!5:5"), COLUMN(INDIRECT("'"&amp;B184&amp;"'!"&amp;D184))))</f>
        <v>Surrender Value of Insurance Contracts</v>
      </c>
      <c r="F184" s="160" t="s">
        <v>1776</v>
      </c>
      <c r="G184" s="160" t="s">
        <v>1773</v>
      </c>
      <c r="H184" s="161" t="s">
        <v>1837</v>
      </c>
      <c r="I184" s="160" t="str">
        <f>IF(TRIM(SUBSTITUTE('AML.03.05'!$C$11&amp;"",CHAR(160),""))="","OK",IF(NOT(ISNUMBER('AML.03.05'!$C$11)),$G184&amp;": "&amp;$H184,"OK"))</f>
        <v>OK</v>
      </c>
      <c r="J184" s="160" t="str">
        <f>IF(LEN(IF(VLOOKUP("AMLA_VR_AML.03.05_C0020_01",$A:$I,9,0)&lt;&gt;"OK",CHAR(10)&amp;VLOOKUP("AMLA_VR_AML.03.05_C0020_01",$A:$I,9,0),"")&amp;IF(VLOOKUP("AMLA_VR_AML.03.05_C0020_02",$A:$I,9,0)&lt;&gt;"OK",CHAR(10)&amp;VLOOKUP("AMLA_VR_AML.03.05_C0020_02",$A:$I,9,0),""))=0,"OK",MID(IF(VLOOKUP("AMLA_VR_AML.03.05_C0020_01",$A:$I,9,0)&lt;&gt;"OK",CHAR(10)&amp;VLOOKUP("AMLA_VR_AML.03.05_C0020_01",$A:$I,9,0),"")&amp;IF(VLOOKUP("AMLA_VR_AML.03.05_C0020_02",$A:$I,9,0)&lt;&gt;"OK",CHAR(10)&amp;VLOOKUP("AMLA_VR_AML.03.05_C0020_02",$A:$I,9,0),""),2,3000))</f>
        <v>OK</v>
      </c>
      <c r="K184" s="160" t="s">
        <v>1775</v>
      </c>
    </row>
    <row r="185" spans="1:11">
      <c r="A185" s="159" t="str">
        <f>"AMLA_VR_" &amp; B185 &amp; "_" &amp; C185 &amp; "_" &amp; TEXT(COUNTIFS($B$2:B185, B185, $C$2:C185, C185), "00")</f>
        <v>AMLA_VR_AML.03.05_C0030_01</v>
      </c>
      <c r="B185" s="157" t="s">
        <v>192</v>
      </c>
      <c r="C185" s="157" t="s">
        <v>83</v>
      </c>
      <c r="D185" s="157" t="s">
        <v>1551</v>
      </c>
      <c r="E185" s="160" t="str" cm="1">
        <f t="array" aca="1" ref="E185" ca="1">IF(C185="", INDIRECT("'"&amp;B185&amp;"'!B3"), INDEX(INDIRECT("'"&amp;B185&amp;"'!5:5"), COLUMN(INDIRECT("'"&amp;B185&amp;"'!"&amp;D185))))</f>
        <v>Premiums Paid to Broker (%)</v>
      </c>
      <c r="F185" s="157" t="s">
        <v>1772</v>
      </c>
      <c r="G185" s="157" t="s">
        <v>1773</v>
      </c>
      <c r="H185" s="158" t="s">
        <v>1820</v>
      </c>
      <c r="I185" s="157" t="str">
        <f>IF('AML.03.05'!$D$11&lt;0, $G185 &amp; ": " &amp; $H185, "OK")</f>
        <v>OK</v>
      </c>
      <c r="J185" s="157" t="str">
        <f>IF(LEN(IF(VLOOKUP("AMLA_VR_AML.03.05_C0030_01",$A:$I,9,0)&lt;&gt;"OK",CHAR(10)&amp;VLOOKUP("AMLA_VR_AML.03.05_C0030_01",$A:$I,9,0),"")&amp;IF(VLOOKUP("AMLA_VR_AML.03.05_C0030_02",$A:$I,9,0)&lt;&gt;"OK",CHAR(10)&amp;VLOOKUP("AMLA_VR_AML.03.05_C0030_02",$A:$I,9,0),"")&amp;IF(VLOOKUP("AMLA_VR_AML.03.05_C0030_03",$A:$I,9,0)&lt;&gt;"OK",CHAR(10)&amp;VLOOKUP("AMLA_VR_AML.03.05_C0030_03",$A:$I,9,0),""))=0,"OK",MID(IF(VLOOKUP("AMLA_VR_AML.03.05_C0030_01",$A:$I,9,0)&lt;&gt;"OK",CHAR(10)&amp;VLOOKUP("AMLA_VR_AML.03.05_C0030_01",$A:$I,9,0),"")&amp;IF(VLOOKUP("AMLA_VR_AML.03.05_C0030_02",$A:$I,9,0)&lt;&gt;"OK",CHAR(10)&amp;VLOOKUP("AMLA_VR_AML.03.05_C0030_02",$A:$I,9,0),"")&amp;IF(VLOOKUP("AMLA_VR_AML.03.05_C0030_03",$A:$I,9,0)&lt;&gt;"OK",CHAR(10)&amp;VLOOKUP("AMLA_VR_AML.03.05_C0030_03",$A:$I,9,0),""),2,3000))</f>
        <v>OK</v>
      </c>
      <c r="K185" s="157" t="s">
        <v>1775</v>
      </c>
    </row>
    <row r="186" spans="1:11">
      <c r="A186" s="159" t="str">
        <f>"AMLA_VR_" &amp; B186 &amp; "_" &amp; C186 &amp; "_" &amp; TEXT(COUNTIFS($B$2:B186, B186, $C$2:C186, C186), "00")</f>
        <v>AMLA_VR_AML.03.05_C0030_02</v>
      </c>
      <c r="B186" s="160" t="s">
        <v>192</v>
      </c>
      <c r="C186" s="160" t="s">
        <v>83</v>
      </c>
      <c r="D186" s="160" t="s">
        <v>1551</v>
      </c>
      <c r="E186" s="160" t="str" cm="1">
        <f t="array" aca="1" ref="E186" ca="1">IF(C186="", INDIRECT("'"&amp;B186&amp;"'!B3"), INDEX(INDIRECT("'"&amp;B186&amp;"'!5:5"), COLUMN(INDIRECT("'"&amp;B186&amp;"'!"&amp;D186))))</f>
        <v>Premiums Paid to Broker (%)</v>
      </c>
      <c r="F186" s="160" t="s">
        <v>1772</v>
      </c>
      <c r="G186" s="160" t="s">
        <v>1773</v>
      </c>
      <c r="H186" s="161" t="s">
        <v>1850</v>
      </c>
      <c r="I186" s="160" t="str">
        <f>IF('AML.03.05'!$D$11&gt;1, $G186 &amp; ": " &amp; $H186, "OK")</f>
        <v>OK</v>
      </c>
      <c r="J186" s="160" t="str">
        <f>IF(LEN(IF(VLOOKUP("AMLA_VR_AML.03.05_C0030_01",$A:$I,9,0)&lt;&gt;"OK",CHAR(10)&amp;VLOOKUP("AMLA_VR_AML.03.05_C0030_01",$A:$I,9,0),"")&amp;IF(VLOOKUP("AMLA_VR_AML.03.05_C0030_02",$A:$I,9,0)&lt;&gt;"OK",CHAR(10)&amp;VLOOKUP("AMLA_VR_AML.03.05_C0030_02",$A:$I,9,0),"")&amp;IF(VLOOKUP("AMLA_VR_AML.03.05_C0030_03",$A:$I,9,0)&lt;&gt;"OK",CHAR(10)&amp;VLOOKUP("AMLA_VR_AML.03.05_C0030_03",$A:$I,9,0),""))=0,"OK",MID(IF(VLOOKUP("AMLA_VR_AML.03.05_C0030_01",$A:$I,9,0)&lt;&gt;"OK",CHAR(10)&amp;VLOOKUP("AMLA_VR_AML.03.05_C0030_01",$A:$I,9,0),"")&amp;IF(VLOOKUP("AMLA_VR_AML.03.05_C0030_02",$A:$I,9,0)&lt;&gt;"OK",CHAR(10)&amp;VLOOKUP("AMLA_VR_AML.03.05_C0030_02",$A:$I,9,0),"")&amp;IF(VLOOKUP("AMLA_VR_AML.03.05_C0030_03",$A:$I,9,0)&lt;&gt;"OK",CHAR(10)&amp;VLOOKUP("AMLA_VR_AML.03.05_C0030_03",$A:$I,9,0),""),2,3000))</f>
        <v>OK</v>
      </c>
      <c r="K186" s="160" t="s">
        <v>1775</v>
      </c>
    </row>
    <row r="187" spans="1:11">
      <c r="A187" s="159" t="str">
        <f>"AMLA_VR_" &amp; B187 &amp; "_" &amp; C187 &amp; "_" &amp; TEXT(COUNTIFS($B$2:B187, B187, $C$2:C187, C187), "00")</f>
        <v>AMLA_VR_AML.03.05_C0030_03</v>
      </c>
      <c r="B187" s="157" t="s">
        <v>192</v>
      </c>
      <c r="C187" s="157" t="s">
        <v>83</v>
      </c>
      <c r="D187" s="157" t="s">
        <v>1551</v>
      </c>
      <c r="E187" s="160" t="str" cm="1">
        <f t="array" aca="1" ref="E187" ca="1">IF(C187="", INDIRECT("'"&amp;B187&amp;"'!B3"), INDEX(INDIRECT("'"&amp;B187&amp;"'!5:5"), COLUMN(INDIRECT("'"&amp;B187&amp;"'!"&amp;D187))))</f>
        <v>Premiums Paid to Broker (%)</v>
      </c>
      <c r="F187" s="157" t="s">
        <v>1776</v>
      </c>
      <c r="G187" s="157" t="s">
        <v>1773</v>
      </c>
      <c r="H187" s="158" t="s">
        <v>1851</v>
      </c>
      <c r="I187" s="157" t="str">
        <f>IF(TRIM(SUBSTITUTE('AML.03.05'!$D$11&amp;"",CHAR(160),""))="","OK",IF(OR(NOT(ISNUMBER('AML.03.05'!$D$11)),'AML.03.05'!$D$11&lt;0,'AML.03.05'!$D$11&gt;1),$G187&amp;": "&amp;$H187,"OK"))</f>
        <v>OK</v>
      </c>
      <c r="J187" s="157" t="str">
        <f>IF(LEN(IF(VLOOKUP("AMLA_VR_AML.03.05_C0030_01",$A:$I,9,0)&lt;&gt;"OK",CHAR(10)&amp;VLOOKUP("AMLA_VR_AML.03.05_C0030_01",$A:$I,9,0),"")&amp;IF(VLOOKUP("AMLA_VR_AML.03.05_C0030_02",$A:$I,9,0)&lt;&gt;"OK",CHAR(10)&amp;VLOOKUP("AMLA_VR_AML.03.05_C0030_02",$A:$I,9,0),"")&amp;IF(VLOOKUP("AMLA_VR_AML.03.05_C0030_03",$A:$I,9,0)&lt;&gt;"OK",CHAR(10)&amp;VLOOKUP("AMLA_VR_AML.03.05_C0030_03",$A:$I,9,0),""))=0,"OK",MID(IF(VLOOKUP("AMLA_VR_AML.03.05_C0030_01",$A:$I,9,0)&lt;&gt;"OK",CHAR(10)&amp;VLOOKUP("AMLA_VR_AML.03.05_C0030_01",$A:$I,9,0),"")&amp;IF(VLOOKUP("AMLA_VR_AML.03.05_C0030_02",$A:$I,9,0)&lt;&gt;"OK",CHAR(10)&amp;VLOOKUP("AMLA_VR_AML.03.05_C0030_02",$A:$I,9,0),"")&amp;IF(VLOOKUP("AMLA_VR_AML.03.05_C0030_03",$A:$I,9,0)&lt;&gt;"OK",CHAR(10)&amp;VLOOKUP("AMLA_VR_AML.03.05_C0030_03",$A:$I,9,0),""),2,3000))</f>
        <v>OK</v>
      </c>
      <c r="K187" s="157" t="s">
        <v>1775</v>
      </c>
    </row>
    <row r="188" spans="1:11">
      <c r="A188" s="159" t="str">
        <f>"AMLA_VR_" &amp; B188 &amp; "_" &amp; C188 &amp; "_" &amp; TEXT(COUNTIFS($B$2:B188, B188, $C$2:C188, C188), "00")</f>
        <v>AMLA_VR_AML.03.05_C0040_01</v>
      </c>
      <c r="B188" s="157" t="s">
        <v>192</v>
      </c>
      <c r="C188" s="157" t="s">
        <v>84</v>
      </c>
      <c r="D188" s="157" t="s">
        <v>1552</v>
      </c>
      <c r="E188" s="160" t="str" cm="1">
        <f t="array" aca="1" ref="E188" ca="1">IF(C188="", INDIRECT("'"&amp;B188&amp;"'!B3"), INDEX(INDIRECT("'"&amp;B188&amp;"'!5:5"), COLUMN(INDIRECT("'"&amp;B188&amp;"'!"&amp;D188))))</f>
        <v>Non-low Risk Insurance Contracts - Number</v>
      </c>
      <c r="F188" s="157" t="s">
        <v>1772</v>
      </c>
      <c r="G188" s="157" t="s">
        <v>1773</v>
      </c>
      <c r="H188" s="158" t="s">
        <v>1821</v>
      </c>
      <c r="I188" s="157" t="str">
        <f>IF('AML.03.05'!$E$11&lt;0, $G188 &amp; ": " &amp; $H188, "OK")</f>
        <v>OK</v>
      </c>
      <c r="J188" s="157" t="str">
        <f>IF(LEN(IF(VLOOKUP("AMLA_VR_AML.03.05_C0040_01",$A:$I,9,0)&lt;&gt;"OK",CHAR(10)&amp;VLOOKUP("AMLA_VR_AML.03.05_C0040_01",$A:$I,9,0),"")&amp;IF(VLOOKUP("AMLA_VR_AML.03.05_C0040_02",$A:$I,9,0)&lt;&gt;"OK",CHAR(10)&amp;VLOOKUP("AMLA_VR_AML.03.05_C0040_02",$A:$I,9,0),""))=0,"OK",MID(IF(VLOOKUP("AMLA_VR_AML.03.05_C0040_01",$A:$I,9,0)&lt;&gt;"OK",CHAR(10)&amp;VLOOKUP("AMLA_VR_AML.03.05_C0040_01",$A:$I,9,0),"")&amp;IF(VLOOKUP("AMLA_VR_AML.03.05_C0040_02",$A:$I,9,0)&lt;&gt;"OK",CHAR(10)&amp;VLOOKUP("AMLA_VR_AML.03.05_C0040_02",$A:$I,9,0),""),2,3000))</f>
        <v>OK</v>
      </c>
      <c r="K188" s="157" t="s">
        <v>1775</v>
      </c>
    </row>
    <row r="189" spans="1:11">
      <c r="A189" s="159" t="str">
        <f>"AMLA_VR_" &amp; B189 &amp; "_" &amp; C189 &amp; "_" &amp; TEXT(COUNTIFS($B$2:B189, B189, $C$2:C189, C189), "00")</f>
        <v>AMLA_VR_AML.03.05_C0040_02</v>
      </c>
      <c r="B189" s="160" t="s">
        <v>192</v>
      </c>
      <c r="C189" s="160" t="s">
        <v>84</v>
      </c>
      <c r="D189" s="160" t="s">
        <v>1552</v>
      </c>
      <c r="E189" s="160" t="str" cm="1">
        <f t="array" aca="1" ref="E189" ca="1">IF(C189="", INDIRECT("'"&amp;B189&amp;"'!B3"), INDEX(INDIRECT("'"&amp;B189&amp;"'!5:5"), COLUMN(INDIRECT("'"&amp;B189&amp;"'!"&amp;D189))))</f>
        <v>Non-low Risk Insurance Contracts - Number</v>
      </c>
      <c r="F189" s="160" t="s">
        <v>1776</v>
      </c>
      <c r="G189" s="160" t="s">
        <v>1773</v>
      </c>
      <c r="H189" s="161" t="s">
        <v>1816</v>
      </c>
      <c r="I189" s="160" t="str">
        <f>IF(TRIM(SUBSTITUTE('AML.03.05'!$E$11&amp;"",CHAR(160),""))="","OK",IF(OR(NOT(ISNUMBER('AML.03.05'!$E$11)),IFERROR(INT('AML.03.05'!$E$11)&lt;&gt;'AML.03.05'!$E$11,TRUE)),$G189&amp;": "&amp;$H189,"OK"))</f>
        <v>OK</v>
      </c>
      <c r="J189" s="160" t="str">
        <f>IF(LEN(IF(VLOOKUP("AMLA_VR_AML.03.05_C0040_01",$A:$I,9,0)&lt;&gt;"OK",CHAR(10)&amp;VLOOKUP("AMLA_VR_AML.03.05_C0040_01",$A:$I,9,0),"")&amp;IF(VLOOKUP("AMLA_VR_AML.03.05_C0040_02",$A:$I,9,0)&lt;&gt;"OK",CHAR(10)&amp;VLOOKUP("AMLA_VR_AML.03.05_C0040_02",$A:$I,9,0),""))=0,"OK",MID(IF(VLOOKUP("AMLA_VR_AML.03.05_C0040_01",$A:$I,9,0)&lt;&gt;"OK",CHAR(10)&amp;VLOOKUP("AMLA_VR_AML.03.05_C0040_01",$A:$I,9,0),"")&amp;IF(VLOOKUP("AMLA_VR_AML.03.05_C0040_02",$A:$I,9,0)&lt;&gt;"OK",CHAR(10)&amp;VLOOKUP("AMLA_VR_AML.03.05_C0040_02",$A:$I,9,0),""),2,3000))</f>
        <v>OK</v>
      </c>
      <c r="K189" s="160" t="s">
        <v>1775</v>
      </c>
    </row>
    <row r="190" spans="1:11">
      <c r="A190" s="159" t="str">
        <f>"AMLA_VR_" &amp; B190 &amp; "_" &amp; C190 &amp; "_" &amp; TEXT(COUNTIFS($B$2:B190, B190, $C$2:C190, C190), "00")</f>
        <v>AMLA_VR_AML.03.06_C0010_01</v>
      </c>
      <c r="B190" s="160" t="s">
        <v>199</v>
      </c>
      <c r="C190" s="160" t="s">
        <v>81</v>
      </c>
      <c r="D190" s="160" t="s">
        <v>1549</v>
      </c>
      <c r="E190" s="160" t="str" cm="1">
        <f t="array" aca="1" ref="E190" ca="1">IF(C190="", INDIRECT("'"&amp;B190&amp;"'!B3"), INDEX(INDIRECT("'"&amp;B190&amp;"'!5:5"), COLUMN(INDIRECT("'"&amp;B190&amp;"'!"&amp;D190))))</f>
        <v>Currency Exchange - Sell (Number)</v>
      </c>
      <c r="F190" s="160" t="s">
        <v>1772</v>
      </c>
      <c r="G190" s="160" t="s">
        <v>1773</v>
      </c>
      <c r="H190" s="161" t="s">
        <v>1815</v>
      </c>
      <c r="I190" s="160" t="str">
        <f>IF('AML.03.06'!$B$11&lt;0, $G190 &amp; ": " &amp; $H190, "OK")</f>
        <v>OK</v>
      </c>
      <c r="J190" s="160" t="str">
        <f>IF(LEN(IF(VLOOKUP("AMLA_VR_AML.03.06_C0010_01",$A:$I,9,0)&lt;&gt;"OK",CHAR(10)&amp;VLOOKUP("AMLA_VR_AML.03.06_C0010_01",$A:$I,9,0),"")&amp;IF(VLOOKUP("AMLA_VR_AML.03.06_C0010_02",$A:$I,9,0)&lt;&gt;"OK",CHAR(10)&amp;VLOOKUP("AMLA_VR_AML.03.06_C0010_02",$A:$I,9,0),"")&amp;IF(VLOOKUP("AMLA_VR_AML.03.06_C0010_03",$A:$I,9,0)&lt;&gt;"OK",CHAR(10)&amp;VLOOKUP("AMLA_VR_AML.03.06_C0010_03",$A:$I,9,0),""))=0,"OK",MID(IF(VLOOKUP("AMLA_VR_AML.03.06_C0010_01",$A:$I,9,0)&lt;&gt;"OK",CHAR(10)&amp;VLOOKUP("AMLA_VR_AML.03.06_C0010_01",$A:$I,9,0),"")&amp;IF(VLOOKUP("AMLA_VR_AML.03.06_C0010_02",$A:$I,9,0)&lt;&gt;"OK",CHAR(10)&amp;VLOOKUP("AMLA_VR_AML.03.06_C0010_02",$A:$I,9,0),"")&amp;IF(VLOOKUP("AMLA_VR_AML.03.06_C0010_03",$A:$I,9,0)&lt;&gt;"OK",CHAR(10)&amp;VLOOKUP("AMLA_VR_AML.03.06_C0010_03",$A:$I,9,0),""),2,3000))</f>
        <v>OK</v>
      </c>
      <c r="K190" s="160" t="s">
        <v>1775</v>
      </c>
    </row>
    <row r="191" spans="1:11">
      <c r="A191" s="159" t="str">
        <f>"AMLA_VR_" &amp; B191 &amp; "_" &amp; C191 &amp; "_" &amp; TEXT(COUNTIFS($B$2:B191, B191, $C$2:C191, C191), "00")</f>
        <v>AMLA_VR_AML.03.06_C0010_02</v>
      </c>
      <c r="B191" s="157" t="s">
        <v>199</v>
      </c>
      <c r="C191" s="157" t="s">
        <v>81</v>
      </c>
      <c r="D191" s="157" t="s">
        <v>1549</v>
      </c>
      <c r="E191" s="160" t="str" cm="1">
        <f t="array" aca="1" ref="E191" ca="1">IF(C191="", INDIRECT("'"&amp;B191&amp;"'!B3"), INDEX(INDIRECT("'"&amp;B191&amp;"'!5:5"), COLUMN(INDIRECT("'"&amp;B191&amp;"'!"&amp;D191))))</f>
        <v>Currency Exchange - Sell (Number)</v>
      </c>
      <c r="F191" s="157" t="s">
        <v>1776</v>
      </c>
      <c r="G191" s="157" t="s">
        <v>1773</v>
      </c>
      <c r="H191" s="158" t="s">
        <v>1816</v>
      </c>
      <c r="I191" s="157" t="str">
        <f>IF(TRIM(SUBSTITUTE('AML.03.06'!$B$11&amp;"",CHAR(160),""))="","OK",IF(OR(NOT(ISNUMBER('AML.03.06'!$B$11)),IFERROR(INT('AML.03.06'!$B$11)&lt;&gt;'AML.03.06'!$B$11,TRUE)),$G191&amp;": "&amp;$H191,"OK"))</f>
        <v>OK</v>
      </c>
      <c r="J191" s="157" t="str">
        <f>IF(LEN(IF(VLOOKUP("AMLA_VR_AML.03.06_C0010_01",$A:$I,9,0)&lt;&gt;"OK",CHAR(10)&amp;VLOOKUP("AMLA_VR_AML.03.06_C0010_01",$A:$I,9,0),"")&amp;IF(VLOOKUP("AMLA_VR_AML.03.06_C0010_02",$A:$I,9,0)&lt;&gt;"OK",CHAR(10)&amp;VLOOKUP("AMLA_VR_AML.03.06_C0010_02",$A:$I,9,0),"")&amp;IF(VLOOKUP("AMLA_VR_AML.03.06_C0010_03",$A:$I,9,0)&lt;&gt;"OK",CHAR(10)&amp;VLOOKUP("AMLA_VR_AML.03.06_C0010_03",$A:$I,9,0),""))=0,"OK",MID(IF(VLOOKUP("AMLA_VR_AML.03.06_C0010_01",$A:$I,9,0)&lt;&gt;"OK",CHAR(10)&amp;VLOOKUP("AMLA_VR_AML.03.06_C0010_01",$A:$I,9,0),"")&amp;IF(VLOOKUP("AMLA_VR_AML.03.06_C0010_02",$A:$I,9,0)&lt;&gt;"OK",CHAR(10)&amp;VLOOKUP("AMLA_VR_AML.03.06_C0010_02",$A:$I,9,0),"")&amp;IF(VLOOKUP("AMLA_VR_AML.03.06_C0010_03",$A:$I,9,0)&lt;&gt;"OK",CHAR(10)&amp;VLOOKUP("AMLA_VR_AML.03.06_C0010_03",$A:$I,9,0),""),2,3000))</f>
        <v>OK</v>
      </c>
      <c r="K191" s="157" t="s">
        <v>1775</v>
      </c>
    </row>
    <row r="192" spans="1:11">
      <c r="A192" s="159" t="str">
        <f>"AMLA_VR_" &amp; B192 &amp; "_" &amp; C192 &amp; "_" &amp; TEXT(COUNTIFS($B$2:B192, B192, $C$2:C192, C192), "00")</f>
        <v>AMLA_VR_AML.03.06_C0010_03</v>
      </c>
      <c r="B192" s="157" t="s">
        <v>199</v>
      </c>
      <c r="C192" s="157" t="s">
        <v>81</v>
      </c>
      <c r="D192" s="157" t="s">
        <v>1549</v>
      </c>
      <c r="E192" s="160" t="str" cm="1">
        <f t="array" aca="1" ref="E192" ca="1">IF(C192="", INDIRECT("'"&amp;B192&amp;"'!B3"), INDEX(INDIRECT("'"&amp;B192&amp;"'!5:5"), COLUMN(INDIRECT("'"&amp;B192&amp;"'!"&amp;D192))))</f>
        <v>Currency Exchange - Sell (Number)</v>
      </c>
      <c r="F192" s="157" t="s">
        <v>1772</v>
      </c>
      <c r="G192" s="157" t="s">
        <v>1813</v>
      </c>
      <c r="H192" s="158" t="s">
        <v>1852</v>
      </c>
      <c r="I192" s="157" t="str">
        <f>IF(AND('AML.03.06'!$B$11=0, 'AML.03.06'!$F$11&gt;0), $G192 &amp; ": " &amp; $H192, "OK")</f>
        <v>OK</v>
      </c>
      <c r="J192" s="157" t="str">
        <f>IF(LEN(IF(VLOOKUP("AMLA_VR_AML.03.06_C0010_01",$A:$I,9,0)&lt;&gt;"OK",CHAR(10)&amp;VLOOKUP("AMLA_VR_AML.03.06_C0010_01",$A:$I,9,0),"")&amp;IF(VLOOKUP("AMLA_VR_AML.03.06_C0010_02",$A:$I,9,0)&lt;&gt;"OK",CHAR(10)&amp;VLOOKUP("AMLA_VR_AML.03.06_C0010_02",$A:$I,9,0),"")&amp;IF(VLOOKUP("AMLA_VR_AML.03.06_C0010_03",$A:$I,9,0)&lt;&gt;"OK",CHAR(10)&amp;VLOOKUP("AMLA_VR_AML.03.06_C0010_03",$A:$I,9,0),""))=0,"OK",MID(IF(VLOOKUP("AMLA_VR_AML.03.06_C0010_01",$A:$I,9,0)&lt;&gt;"OK",CHAR(10)&amp;VLOOKUP("AMLA_VR_AML.03.06_C0010_01",$A:$I,9,0),"")&amp;IF(VLOOKUP("AMLA_VR_AML.03.06_C0010_02",$A:$I,9,0)&lt;&gt;"OK",CHAR(10)&amp;VLOOKUP("AMLA_VR_AML.03.06_C0010_02",$A:$I,9,0),"")&amp;IF(VLOOKUP("AMLA_VR_AML.03.06_C0010_03",$A:$I,9,0)&lt;&gt;"OK",CHAR(10)&amp;VLOOKUP("AMLA_VR_AML.03.06_C0010_03",$A:$I,9,0),""),2,3000))</f>
        <v>OK</v>
      </c>
      <c r="K192" s="157" t="s">
        <v>1775</v>
      </c>
    </row>
    <row r="193" spans="1:11">
      <c r="A193" s="159" t="str">
        <f>"AMLA_VR_" &amp; B193 &amp; "_" &amp; C193 &amp; "_" &amp; TEXT(COUNTIFS($B$2:B193, B193, $C$2:C193, C193), "00")</f>
        <v>AMLA_VR_AML.03.06_C0020_01</v>
      </c>
      <c r="B193" s="160" t="s">
        <v>199</v>
      </c>
      <c r="C193" s="160" t="s">
        <v>82</v>
      </c>
      <c r="D193" s="160" t="s">
        <v>1550</v>
      </c>
      <c r="E193" s="160" t="str" cm="1">
        <f t="array" aca="1" ref="E193" ca="1">IF(C193="", INDIRECT("'"&amp;B193&amp;"'!B3"), INDEX(INDIRECT("'"&amp;B193&amp;"'!5:5"), COLUMN(INDIRECT("'"&amp;B193&amp;"'!"&amp;D193))))</f>
        <v>Currency Exchange - Buy (Number)</v>
      </c>
      <c r="F193" s="160" t="s">
        <v>1772</v>
      </c>
      <c r="G193" s="160" t="s">
        <v>1773</v>
      </c>
      <c r="H193" s="161" t="s">
        <v>1819</v>
      </c>
      <c r="I193" s="160" t="str">
        <f>IF('AML.03.06'!$C$11&lt;0, $G193 &amp; ": " &amp; $H193, "OK")</f>
        <v>OK</v>
      </c>
      <c r="J193" s="160" t="str">
        <f>IF(LEN(IF(VLOOKUP("AMLA_VR_AML.03.06_C0020_01",$A:$I,9,0)&lt;&gt;"OK",CHAR(10)&amp;VLOOKUP("AMLA_VR_AML.03.06_C0020_01",$A:$I,9,0),"")&amp;IF(VLOOKUP("AMLA_VR_AML.03.06_C0020_02",$A:$I,9,0)&lt;&gt;"OK",CHAR(10)&amp;VLOOKUP("AMLA_VR_AML.03.06_C0020_02",$A:$I,9,0),"")&amp;IF(VLOOKUP("AMLA_VR_AML.03.06_C0020_03",$A:$I,9,0)&lt;&gt;"OK",CHAR(10)&amp;VLOOKUP("AMLA_VR_AML.03.06_C0020_03",$A:$I,9,0),""))=0,"OK",MID(IF(VLOOKUP("AMLA_VR_AML.03.06_C0020_01",$A:$I,9,0)&lt;&gt;"OK",CHAR(10)&amp;VLOOKUP("AMLA_VR_AML.03.06_C0020_01",$A:$I,9,0),"")&amp;IF(VLOOKUP("AMLA_VR_AML.03.06_C0020_02",$A:$I,9,0)&lt;&gt;"OK",CHAR(10)&amp;VLOOKUP("AMLA_VR_AML.03.06_C0020_02",$A:$I,9,0),"")&amp;IF(VLOOKUP("AMLA_VR_AML.03.06_C0020_03",$A:$I,9,0)&lt;&gt;"OK",CHAR(10)&amp;VLOOKUP("AMLA_VR_AML.03.06_C0020_03",$A:$I,9,0),""),2,3000))</f>
        <v>OK</v>
      </c>
      <c r="K193" s="160" t="s">
        <v>1775</v>
      </c>
    </row>
    <row r="194" spans="1:11">
      <c r="A194" s="159" t="str">
        <f>"AMLA_VR_" &amp; B194 &amp; "_" &amp; C194 &amp; "_" &amp; TEXT(COUNTIFS($B$2:B194, B194, $C$2:C194, C194), "00")</f>
        <v>AMLA_VR_AML.03.06_C0020_02</v>
      </c>
      <c r="B194" s="160" t="s">
        <v>199</v>
      </c>
      <c r="C194" s="160" t="s">
        <v>82</v>
      </c>
      <c r="D194" s="160" t="s">
        <v>1550</v>
      </c>
      <c r="E194" s="160" t="str" cm="1">
        <f t="array" aca="1" ref="E194" ca="1">IF(C194="", INDIRECT("'"&amp;B194&amp;"'!B3"), INDEX(INDIRECT("'"&amp;B194&amp;"'!5:5"), COLUMN(INDIRECT("'"&amp;B194&amp;"'!"&amp;D194))))</f>
        <v>Currency Exchange - Buy (Number)</v>
      </c>
      <c r="F194" s="160" t="s">
        <v>1776</v>
      </c>
      <c r="G194" s="160" t="s">
        <v>1773</v>
      </c>
      <c r="H194" s="161" t="s">
        <v>1816</v>
      </c>
      <c r="I194" s="160" t="str">
        <f>IF(TRIM(SUBSTITUTE('AML.03.06'!$C$11&amp;"",CHAR(160),""))="","OK",IF(OR(NOT(ISNUMBER('AML.03.06'!$C$11)),IFERROR(INT('AML.03.06'!$C$11)&lt;&gt;'AML.03.06'!$C$11,TRUE)),$G194&amp;": "&amp;$H194,"OK"))</f>
        <v>OK</v>
      </c>
      <c r="J194" s="160" t="str">
        <f>IF(LEN(IF(VLOOKUP("AMLA_VR_AML.03.06_C0020_01",$A:$I,9,0)&lt;&gt;"OK",CHAR(10)&amp;VLOOKUP("AMLA_VR_AML.03.06_C0020_01",$A:$I,9,0),"")&amp;IF(VLOOKUP("AMLA_VR_AML.03.06_C0020_02",$A:$I,9,0)&lt;&gt;"OK",CHAR(10)&amp;VLOOKUP("AMLA_VR_AML.03.06_C0020_02",$A:$I,9,0),"")&amp;IF(VLOOKUP("AMLA_VR_AML.03.06_C0020_03",$A:$I,9,0)&lt;&gt;"OK",CHAR(10)&amp;VLOOKUP("AMLA_VR_AML.03.06_C0020_03",$A:$I,9,0),""))=0,"OK",MID(IF(VLOOKUP("AMLA_VR_AML.03.06_C0020_01",$A:$I,9,0)&lt;&gt;"OK",CHAR(10)&amp;VLOOKUP("AMLA_VR_AML.03.06_C0020_01",$A:$I,9,0),"")&amp;IF(VLOOKUP("AMLA_VR_AML.03.06_C0020_02",$A:$I,9,0)&lt;&gt;"OK",CHAR(10)&amp;VLOOKUP("AMLA_VR_AML.03.06_C0020_02",$A:$I,9,0),"")&amp;IF(VLOOKUP("AMLA_VR_AML.03.06_C0020_03",$A:$I,9,0)&lt;&gt;"OK",CHAR(10)&amp;VLOOKUP("AMLA_VR_AML.03.06_C0020_03",$A:$I,9,0),""),2,3000))</f>
        <v>OK</v>
      </c>
      <c r="K194" s="160" t="s">
        <v>1775</v>
      </c>
    </row>
    <row r="195" spans="1:11">
      <c r="A195" s="159" t="str">
        <f>"AMLA_VR_" &amp; B195 &amp; "_" &amp; C195 &amp; "_" &amp; TEXT(COUNTIFS($B$2:B195, B195, $C$2:C195, C195), "00")</f>
        <v>AMLA_VR_AML.03.06_C0020_03</v>
      </c>
      <c r="B195" s="157" t="s">
        <v>199</v>
      </c>
      <c r="C195" s="157" t="s">
        <v>82</v>
      </c>
      <c r="D195" s="157" t="s">
        <v>1550</v>
      </c>
      <c r="E195" s="160" t="str" cm="1">
        <f t="array" aca="1" ref="E195" ca="1">IF(C195="", INDIRECT("'"&amp;B195&amp;"'!B3"), INDEX(INDIRECT("'"&amp;B195&amp;"'!5:5"), COLUMN(INDIRECT("'"&amp;B195&amp;"'!"&amp;D195))))</f>
        <v>Currency Exchange - Buy (Number)</v>
      </c>
      <c r="F195" s="157" t="s">
        <v>1772</v>
      </c>
      <c r="G195" s="157" t="s">
        <v>1813</v>
      </c>
      <c r="H195" s="158" t="s">
        <v>1846</v>
      </c>
      <c r="I195" s="157" t="str">
        <f>IF(AND('AML.03.06'!$C$11=0, 'AML.03.06'!$G$11&gt;0), $G195 &amp; ": " &amp; $H195, "OK")</f>
        <v>OK</v>
      </c>
      <c r="J195" s="157" t="str">
        <f>IF(LEN(IF(VLOOKUP("AMLA_VR_AML.03.06_C0020_01",$A:$I,9,0)&lt;&gt;"OK",CHAR(10)&amp;VLOOKUP("AMLA_VR_AML.03.06_C0020_01",$A:$I,9,0),"")&amp;IF(VLOOKUP("AMLA_VR_AML.03.06_C0020_02",$A:$I,9,0)&lt;&gt;"OK",CHAR(10)&amp;VLOOKUP("AMLA_VR_AML.03.06_C0020_02",$A:$I,9,0),"")&amp;IF(VLOOKUP("AMLA_VR_AML.03.06_C0020_03",$A:$I,9,0)&lt;&gt;"OK",CHAR(10)&amp;VLOOKUP("AMLA_VR_AML.03.06_C0020_03",$A:$I,9,0),""))=0,"OK",MID(IF(VLOOKUP("AMLA_VR_AML.03.06_C0020_01",$A:$I,9,0)&lt;&gt;"OK",CHAR(10)&amp;VLOOKUP("AMLA_VR_AML.03.06_C0020_01",$A:$I,9,0),"")&amp;IF(VLOOKUP("AMLA_VR_AML.03.06_C0020_02",$A:$I,9,0)&lt;&gt;"OK",CHAR(10)&amp;VLOOKUP("AMLA_VR_AML.03.06_C0020_02",$A:$I,9,0),"")&amp;IF(VLOOKUP("AMLA_VR_AML.03.06_C0020_03",$A:$I,9,0)&lt;&gt;"OK",CHAR(10)&amp;VLOOKUP("AMLA_VR_AML.03.06_C0020_03",$A:$I,9,0),""),2,3000))</f>
        <v>OK</v>
      </c>
      <c r="K195" s="157" t="s">
        <v>1775</v>
      </c>
    </row>
    <row r="196" spans="1:11">
      <c r="A196" s="159" t="str">
        <f>"AMLA_VR_" &amp; B196 &amp; "_" &amp; C196 &amp; "_" &amp; TEXT(COUNTIFS($B$2:B196, B196, $C$2:C196, C196), "00")</f>
        <v>AMLA_VR_AML.03.06_C0030_01</v>
      </c>
      <c r="B196" s="160" t="s">
        <v>199</v>
      </c>
      <c r="C196" s="160" t="s">
        <v>83</v>
      </c>
      <c r="D196" s="160" t="s">
        <v>1551</v>
      </c>
      <c r="E196" s="160" t="str" cm="1">
        <f t="array" aca="1" ref="E196" ca="1">IF(C196="", INDIRECT("'"&amp;B196&amp;"'!B3"), INDEX(INDIRECT("'"&amp;B196&amp;"'!5:5"), COLUMN(INDIRECT("'"&amp;B196&amp;"'!"&amp;D196))))</f>
        <v>Currency Exchange - Sell &gt; EUR 1000 (Number)</v>
      </c>
      <c r="F196" s="160" t="s">
        <v>1772</v>
      </c>
      <c r="G196" s="160" t="s">
        <v>1773</v>
      </c>
      <c r="H196" s="161" t="s">
        <v>1820</v>
      </c>
      <c r="I196" s="160" t="str">
        <f>IF('AML.03.06'!$D$11&lt;0, $G196 &amp; ": " &amp; $H196, "OK")</f>
        <v>OK</v>
      </c>
      <c r="J196" s="160" t="str">
        <f>IF(LEN(IF(VLOOKUP("AMLA_VR_AML.03.06_C0030_01",$A:$I,9,0)&lt;&gt;"OK",CHAR(10)&amp;VLOOKUP("AMLA_VR_AML.03.06_C0030_01",$A:$I,9,0),"")&amp;IF(VLOOKUP("AMLA_VR_AML.03.06_C0030_02",$A:$I,9,0)&lt;&gt;"OK",CHAR(10)&amp;VLOOKUP("AMLA_VR_AML.03.06_C0030_02",$A:$I,9,0),""))=0,"OK",MID(IF(VLOOKUP("AMLA_VR_AML.03.06_C0030_01",$A:$I,9,0)&lt;&gt;"OK",CHAR(10)&amp;VLOOKUP("AMLA_VR_AML.03.06_C0030_01",$A:$I,9,0),"")&amp;IF(VLOOKUP("AMLA_VR_AML.03.06_C0030_02",$A:$I,9,0)&lt;&gt;"OK",CHAR(10)&amp;VLOOKUP("AMLA_VR_AML.03.06_C0030_02",$A:$I,9,0),""),2,3000))</f>
        <v>OK</v>
      </c>
      <c r="K196" s="160" t="s">
        <v>1775</v>
      </c>
    </row>
    <row r="197" spans="1:11">
      <c r="A197" s="159" t="str">
        <f>"AMLA_VR_" &amp; B197 &amp; "_" &amp; C197 &amp; "_" &amp; TEXT(COUNTIFS($B$2:B197, B197, $C$2:C197, C197), "00")</f>
        <v>AMLA_VR_AML.03.06_C0030_02</v>
      </c>
      <c r="B197" s="157" t="s">
        <v>199</v>
      </c>
      <c r="C197" s="157" t="s">
        <v>83</v>
      </c>
      <c r="D197" s="157" t="s">
        <v>1551</v>
      </c>
      <c r="E197" s="160" t="str" cm="1">
        <f t="array" aca="1" ref="E197" ca="1">IF(C197="", INDIRECT("'"&amp;B197&amp;"'!B3"), INDEX(INDIRECT("'"&amp;B197&amp;"'!5:5"), COLUMN(INDIRECT("'"&amp;B197&amp;"'!"&amp;D197))))</f>
        <v>Currency Exchange - Sell &gt; EUR 1000 (Number)</v>
      </c>
      <c r="F197" s="157" t="s">
        <v>1776</v>
      </c>
      <c r="G197" s="157" t="s">
        <v>1773</v>
      </c>
      <c r="H197" s="158" t="s">
        <v>1816</v>
      </c>
      <c r="I197" s="157" t="str">
        <f>IF(TRIM(SUBSTITUTE('AML.03.06'!$D$11&amp;"",CHAR(160),""))="","OK",IF(OR(NOT(ISNUMBER('AML.03.06'!$D$11)),IFERROR(INT('AML.03.06'!$D$11)&lt;&gt;'AML.03.06'!$D$11,TRUE)),$G197&amp;": "&amp;$H197,"OK"))</f>
        <v>OK</v>
      </c>
      <c r="J197" s="157" t="str">
        <f>IF(LEN(IF(VLOOKUP("AMLA_VR_AML.03.06_C0030_01",$A:$I,9,0)&lt;&gt;"OK",CHAR(10)&amp;VLOOKUP("AMLA_VR_AML.03.06_C0030_01",$A:$I,9,0),"")&amp;IF(VLOOKUP("AMLA_VR_AML.03.06_C0030_02",$A:$I,9,0)&lt;&gt;"OK",CHAR(10)&amp;VLOOKUP("AMLA_VR_AML.03.06_C0030_02",$A:$I,9,0),""))=0,"OK",MID(IF(VLOOKUP("AMLA_VR_AML.03.06_C0030_01",$A:$I,9,0)&lt;&gt;"OK",CHAR(10)&amp;VLOOKUP("AMLA_VR_AML.03.06_C0030_01",$A:$I,9,0),"")&amp;IF(VLOOKUP("AMLA_VR_AML.03.06_C0030_02",$A:$I,9,0)&lt;&gt;"OK",CHAR(10)&amp;VLOOKUP("AMLA_VR_AML.03.06_C0030_02",$A:$I,9,0),""),2,3000))</f>
        <v>OK</v>
      </c>
      <c r="K197" s="157" t="s">
        <v>1775</v>
      </c>
    </row>
    <row r="198" spans="1:11">
      <c r="A198" s="159" t="str">
        <f>"AMLA_VR_" &amp; B198 &amp; "_" &amp; C198 &amp; "_" &amp; TEXT(COUNTIFS($B$2:B198, B198, $C$2:C198, C198), "00")</f>
        <v>AMLA_VR_AML.03.06_C0040_01</v>
      </c>
      <c r="B198" s="157" t="s">
        <v>199</v>
      </c>
      <c r="C198" s="157" t="s">
        <v>84</v>
      </c>
      <c r="D198" s="157" t="s">
        <v>1552</v>
      </c>
      <c r="E198" s="160" t="str" cm="1">
        <f t="array" aca="1" ref="E198" ca="1">IF(C198="", INDIRECT("'"&amp;B198&amp;"'!B3"), INDEX(INDIRECT("'"&amp;B198&amp;"'!5:5"), COLUMN(INDIRECT("'"&amp;B198&amp;"'!"&amp;D198))))</f>
        <v>Currency Exchange - Buy &gt; EUR 1000 (Number)</v>
      </c>
      <c r="F198" s="157" t="s">
        <v>1772</v>
      </c>
      <c r="G198" s="157" t="s">
        <v>1773</v>
      </c>
      <c r="H198" s="158" t="s">
        <v>1821</v>
      </c>
      <c r="I198" s="157" t="str">
        <f>IF('AML.03.06'!$E$11&lt;0, $G198 &amp; ": " &amp; $H198, "OK")</f>
        <v>OK</v>
      </c>
      <c r="J198" s="157" t="str">
        <f>IF(LEN(IF(VLOOKUP("AMLA_VR_AML.03.06_C0040_01",$A:$I,9,0)&lt;&gt;"OK",CHAR(10)&amp;VLOOKUP("AMLA_VR_AML.03.06_C0040_01",$A:$I,9,0),"")&amp;IF(VLOOKUP("AMLA_VR_AML.03.06_C0040_02",$A:$I,9,0)&lt;&gt;"OK",CHAR(10)&amp;VLOOKUP("AMLA_VR_AML.03.06_C0040_02",$A:$I,9,0),""))=0,"OK",MID(IF(VLOOKUP("AMLA_VR_AML.03.06_C0040_01",$A:$I,9,0)&lt;&gt;"OK",CHAR(10)&amp;VLOOKUP("AMLA_VR_AML.03.06_C0040_01",$A:$I,9,0),"")&amp;IF(VLOOKUP("AMLA_VR_AML.03.06_C0040_02",$A:$I,9,0)&lt;&gt;"OK",CHAR(10)&amp;VLOOKUP("AMLA_VR_AML.03.06_C0040_02",$A:$I,9,0),""),2,3000))</f>
        <v>OK</v>
      </c>
      <c r="K198" s="157" t="s">
        <v>1775</v>
      </c>
    </row>
    <row r="199" spans="1:11">
      <c r="A199" s="159" t="str">
        <f>"AMLA_VR_" &amp; B199 &amp; "_" &amp; C199 &amp; "_" &amp; TEXT(COUNTIFS($B$2:B199, B199, $C$2:C199, C199), "00")</f>
        <v>AMLA_VR_AML.03.06_C0040_02</v>
      </c>
      <c r="B199" s="160" t="s">
        <v>199</v>
      </c>
      <c r="C199" s="160" t="s">
        <v>84</v>
      </c>
      <c r="D199" s="160" t="s">
        <v>1552</v>
      </c>
      <c r="E199" s="160" t="str" cm="1">
        <f t="array" aca="1" ref="E199" ca="1">IF(C199="", INDIRECT("'"&amp;B199&amp;"'!B3"), INDEX(INDIRECT("'"&amp;B199&amp;"'!5:5"), COLUMN(INDIRECT("'"&amp;B199&amp;"'!"&amp;D199))))</f>
        <v>Currency Exchange - Buy &gt; EUR 1000 (Number)</v>
      </c>
      <c r="F199" s="160" t="s">
        <v>1776</v>
      </c>
      <c r="G199" s="160" t="s">
        <v>1773</v>
      </c>
      <c r="H199" s="161" t="s">
        <v>1816</v>
      </c>
      <c r="I199" s="160" t="str">
        <f>IF(TRIM(SUBSTITUTE('AML.03.06'!$E$11&amp;"",CHAR(160),""))="","OK",IF(OR(NOT(ISNUMBER('AML.03.06'!$E$11)),IFERROR(INT('AML.03.06'!$E$11)&lt;&gt;'AML.03.06'!$E$11,TRUE)),$G199&amp;": "&amp;$H199,"OK"))</f>
        <v>OK</v>
      </c>
      <c r="J199" s="160" t="str">
        <f>IF(LEN(IF(VLOOKUP("AMLA_VR_AML.03.06_C0040_01",$A:$I,9,0)&lt;&gt;"OK",CHAR(10)&amp;VLOOKUP("AMLA_VR_AML.03.06_C0040_01",$A:$I,9,0),"")&amp;IF(VLOOKUP("AMLA_VR_AML.03.06_C0040_02",$A:$I,9,0)&lt;&gt;"OK",CHAR(10)&amp;VLOOKUP("AMLA_VR_AML.03.06_C0040_02",$A:$I,9,0),""))=0,"OK",MID(IF(VLOOKUP("AMLA_VR_AML.03.06_C0040_01",$A:$I,9,0)&lt;&gt;"OK",CHAR(10)&amp;VLOOKUP("AMLA_VR_AML.03.06_C0040_01",$A:$I,9,0),"")&amp;IF(VLOOKUP("AMLA_VR_AML.03.06_C0040_02",$A:$I,9,0)&lt;&gt;"OK",CHAR(10)&amp;VLOOKUP("AMLA_VR_AML.03.06_C0040_02",$A:$I,9,0),""),2,3000))</f>
        <v>OK</v>
      </c>
      <c r="K199" s="160" t="s">
        <v>1775</v>
      </c>
    </row>
    <row r="200" spans="1:11">
      <c r="A200" s="159" t="str">
        <f>"AMLA_VR_" &amp; B200 &amp; "_" &amp; C200 &amp; "_" &amp; TEXT(COUNTIFS($B$2:B200, B200, $C$2:C200, C200), "00")</f>
        <v>AMLA_VR_AML.03.06_C0050_01</v>
      </c>
      <c r="B200" s="160" t="s">
        <v>199</v>
      </c>
      <c r="C200" s="160" t="s">
        <v>85</v>
      </c>
      <c r="D200" s="160" t="s">
        <v>1553</v>
      </c>
      <c r="E200" s="160" t="str" cm="1">
        <f t="array" aca="1" ref="E200" ca="1">IF(C200="", INDIRECT("'"&amp;B200&amp;"'!B3"), INDEX(INDIRECT("'"&amp;B200&amp;"'!5:5"), COLUMN(INDIRECT("'"&amp;B200&amp;"'!"&amp;D200))))</f>
        <v>Currency Exchange - Sell (Value)</v>
      </c>
      <c r="F200" s="160" t="s">
        <v>1772</v>
      </c>
      <c r="G200" s="160" t="s">
        <v>1773</v>
      </c>
      <c r="H200" s="161" t="s">
        <v>1822</v>
      </c>
      <c r="I200" s="160" t="str">
        <f>IF('AML.03.06'!$F$11&lt;0, $G200 &amp; ": " &amp; $H200, "OK")</f>
        <v>OK</v>
      </c>
      <c r="J200" s="160" t="str">
        <f>IF(LEN(IF(VLOOKUP("AMLA_VR_AML.03.06_C0050_01",$A:$I,9,0)&lt;&gt;"OK",CHAR(10)&amp;VLOOKUP("AMLA_VR_AML.03.06_C0050_01",$A:$I,9,0),"")&amp;IF(VLOOKUP("AMLA_VR_AML.03.06_C0050_02",$A:$I,9,0)&lt;&gt;"OK",CHAR(10)&amp;VLOOKUP("AMLA_VR_AML.03.06_C0050_02",$A:$I,9,0),"")&amp;IF(VLOOKUP("AMLA_VR_AML.03.06_C0050_03",$A:$I,9,0)&lt;&gt;"OK",CHAR(10)&amp;VLOOKUP("AMLA_VR_AML.03.06_C0050_03",$A:$I,9,0),""))=0,"OK",MID(IF(VLOOKUP("AMLA_VR_AML.03.06_C0050_01",$A:$I,9,0)&lt;&gt;"OK",CHAR(10)&amp;VLOOKUP("AMLA_VR_AML.03.06_C0050_01",$A:$I,9,0),"")&amp;IF(VLOOKUP("AMLA_VR_AML.03.06_C0050_02",$A:$I,9,0)&lt;&gt;"OK",CHAR(10)&amp;VLOOKUP("AMLA_VR_AML.03.06_C0050_02",$A:$I,9,0),"")&amp;IF(VLOOKUP("AMLA_VR_AML.03.06_C0050_03",$A:$I,9,0)&lt;&gt;"OK",CHAR(10)&amp;VLOOKUP("AMLA_VR_AML.03.06_C0050_03",$A:$I,9,0),""),2,3000))</f>
        <v>OK</v>
      </c>
      <c r="K200" s="160" t="s">
        <v>1775</v>
      </c>
    </row>
    <row r="201" spans="1:11">
      <c r="A201" s="159" t="str">
        <f>"AMLA_VR_" &amp; B201 &amp; "_" &amp; C201 &amp; "_" &amp; TEXT(COUNTIFS($B$2:B201, B201, $C$2:C201, C201), "00")</f>
        <v>AMLA_VR_AML.03.06_C0050_02</v>
      </c>
      <c r="B201" s="157" t="s">
        <v>199</v>
      </c>
      <c r="C201" s="157" t="s">
        <v>85</v>
      </c>
      <c r="D201" s="157" t="s">
        <v>1553</v>
      </c>
      <c r="E201" s="160" t="str" cm="1">
        <f t="array" aca="1" ref="E201" ca="1">IF(C201="", INDIRECT("'"&amp;B201&amp;"'!B3"), INDEX(INDIRECT("'"&amp;B201&amp;"'!5:5"), COLUMN(INDIRECT("'"&amp;B201&amp;"'!"&amp;D201))))</f>
        <v>Currency Exchange - Sell (Value)</v>
      </c>
      <c r="F201" s="157" t="s">
        <v>1776</v>
      </c>
      <c r="G201" s="157" t="s">
        <v>1773</v>
      </c>
      <c r="H201" s="158" t="s">
        <v>1837</v>
      </c>
      <c r="I201" s="157" t="str">
        <f>IF(TRIM(SUBSTITUTE('AML.03.06'!$F$11&amp;"",CHAR(160),""))="","OK",IF(NOT(ISNUMBER('AML.03.06'!$F$11)),$G201&amp;": "&amp;$H201,"OK"))</f>
        <v>OK</v>
      </c>
      <c r="J201" s="157" t="str">
        <f>IF(LEN(IF(VLOOKUP("AMLA_VR_AML.03.06_C0050_01",$A:$I,9,0)&lt;&gt;"OK",CHAR(10)&amp;VLOOKUP("AMLA_VR_AML.03.06_C0050_01",$A:$I,9,0),"")&amp;IF(VLOOKUP("AMLA_VR_AML.03.06_C0050_02",$A:$I,9,0)&lt;&gt;"OK",CHAR(10)&amp;VLOOKUP("AMLA_VR_AML.03.06_C0050_02",$A:$I,9,0),"")&amp;IF(VLOOKUP("AMLA_VR_AML.03.06_C0050_03",$A:$I,9,0)&lt;&gt;"OK",CHAR(10)&amp;VLOOKUP("AMLA_VR_AML.03.06_C0050_03",$A:$I,9,0),""))=0,"OK",MID(IF(VLOOKUP("AMLA_VR_AML.03.06_C0050_01",$A:$I,9,0)&lt;&gt;"OK",CHAR(10)&amp;VLOOKUP("AMLA_VR_AML.03.06_C0050_01",$A:$I,9,0),"")&amp;IF(VLOOKUP("AMLA_VR_AML.03.06_C0050_02",$A:$I,9,0)&lt;&gt;"OK",CHAR(10)&amp;VLOOKUP("AMLA_VR_AML.03.06_C0050_02",$A:$I,9,0),"")&amp;IF(VLOOKUP("AMLA_VR_AML.03.06_C0050_03",$A:$I,9,0)&lt;&gt;"OK",CHAR(10)&amp;VLOOKUP("AMLA_VR_AML.03.06_C0050_03",$A:$I,9,0),""),2,3000))</f>
        <v>OK</v>
      </c>
      <c r="K201" s="157" t="s">
        <v>1775</v>
      </c>
    </row>
    <row r="202" spans="1:11">
      <c r="A202" s="159" t="str">
        <f>"AMLA_VR_" &amp; B202 &amp; "_" &amp; C202 &amp; "_" &amp; TEXT(COUNTIFS($B$2:B202, B202, $C$2:C202, C202), "00")</f>
        <v>AMLA_VR_AML.03.06_C0050_03</v>
      </c>
      <c r="B202" s="157" t="s">
        <v>199</v>
      </c>
      <c r="C202" s="157" t="s">
        <v>85</v>
      </c>
      <c r="D202" s="157" t="s">
        <v>1553</v>
      </c>
      <c r="E202" s="160" t="str" cm="1">
        <f t="array" aca="1" ref="E202" ca="1">IF(C202="", INDIRECT("'"&amp;B202&amp;"'!B3"), INDEX(INDIRECT("'"&amp;B202&amp;"'!5:5"), COLUMN(INDIRECT("'"&amp;B202&amp;"'!"&amp;D202))))</f>
        <v>Currency Exchange - Sell (Value)</v>
      </c>
      <c r="F202" s="157" t="s">
        <v>1772</v>
      </c>
      <c r="G202" s="157" t="s">
        <v>1813</v>
      </c>
      <c r="H202" s="158" t="s">
        <v>1853</v>
      </c>
      <c r="I202" s="157" t="str">
        <f>IF(AND('AML.03.06'!$F$11=0, 'AML.03.06'!$B$11&gt;0), $G202 &amp; ": " &amp; $H202, "OK")</f>
        <v>OK</v>
      </c>
      <c r="J202" s="157" t="str">
        <f>IF(LEN(IF(VLOOKUP("AMLA_VR_AML.03.06_C0050_01",$A:$I,9,0)&lt;&gt;"OK",CHAR(10)&amp;VLOOKUP("AMLA_VR_AML.03.06_C0050_01",$A:$I,9,0),"")&amp;IF(VLOOKUP("AMLA_VR_AML.03.06_C0050_02",$A:$I,9,0)&lt;&gt;"OK",CHAR(10)&amp;VLOOKUP("AMLA_VR_AML.03.06_C0050_02",$A:$I,9,0),"")&amp;IF(VLOOKUP("AMLA_VR_AML.03.06_C0050_03",$A:$I,9,0)&lt;&gt;"OK",CHAR(10)&amp;VLOOKUP("AMLA_VR_AML.03.06_C0050_03",$A:$I,9,0),""))=0,"OK",MID(IF(VLOOKUP("AMLA_VR_AML.03.06_C0050_01",$A:$I,9,0)&lt;&gt;"OK",CHAR(10)&amp;VLOOKUP("AMLA_VR_AML.03.06_C0050_01",$A:$I,9,0),"")&amp;IF(VLOOKUP("AMLA_VR_AML.03.06_C0050_02",$A:$I,9,0)&lt;&gt;"OK",CHAR(10)&amp;VLOOKUP("AMLA_VR_AML.03.06_C0050_02",$A:$I,9,0),"")&amp;IF(VLOOKUP("AMLA_VR_AML.03.06_C0050_03",$A:$I,9,0)&lt;&gt;"OK",CHAR(10)&amp;VLOOKUP("AMLA_VR_AML.03.06_C0050_03",$A:$I,9,0),""),2,3000))</f>
        <v>OK</v>
      </c>
      <c r="K202" s="157" t="s">
        <v>1775</v>
      </c>
    </row>
    <row r="203" spans="1:11">
      <c r="A203" s="159" t="str">
        <f>"AMLA_VR_" &amp; B203 &amp; "_" &amp; C203 &amp; "_" &amp; TEXT(COUNTIFS($B$2:B203, B203, $C$2:C203, C203), "00")</f>
        <v>AMLA_VR_AML.03.06_C0060_01</v>
      </c>
      <c r="B203" s="160" t="s">
        <v>199</v>
      </c>
      <c r="C203" s="160" t="s">
        <v>86</v>
      </c>
      <c r="D203" s="160" t="s">
        <v>1554</v>
      </c>
      <c r="E203" s="160" t="str" cm="1">
        <f t="array" aca="1" ref="E203" ca="1">IF(C203="", INDIRECT("'"&amp;B203&amp;"'!B3"), INDEX(INDIRECT("'"&amp;B203&amp;"'!5:5"), COLUMN(INDIRECT("'"&amp;B203&amp;"'!"&amp;D203))))</f>
        <v>Currency Exchange - Buy (Value)</v>
      </c>
      <c r="F203" s="160" t="s">
        <v>1772</v>
      </c>
      <c r="G203" s="160" t="s">
        <v>1773</v>
      </c>
      <c r="H203" s="161" t="s">
        <v>1823</v>
      </c>
      <c r="I203" s="160" t="str">
        <f>IF('AML.03.06'!$G$11&lt;0, $G203 &amp; ": " &amp; $H203, "OK")</f>
        <v>OK</v>
      </c>
      <c r="J203" s="160" t="str">
        <f>IF(LEN(IF(VLOOKUP("AMLA_VR_AML.03.06_C0060_01",$A:$I,9,0)&lt;&gt;"OK",CHAR(10)&amp;VLOOKUP("AMLA_VR_AML.03.06_C0060_01",$A:$I,9,0),"")&amp;IF(VLOOKUP("AMLA_VR_AML.03.06_C0060_02",$A:$I,9,0)&lt;&gt;"OK",CHAR(10)&amp;VLOOKUP("AMLA_VR_AML.03.06_C0060_02",$A:$I,9,0),"")&amp;IF(VLOOKUP("AMLA_VR_AML.03.06_C0060_03",$A:$I,9,0)&lt;&gt;"OK",CHAR(10)&amp;VLOOKUP("AMLA_VR_AML.03.06_C0060_03",$A:$I,9,0),""))=0,"OK",MID(IF(VLOOKUP("AMLA_VR_AML.03.06_C0060_01",$A:$I,9,0)&lt;&gt;"OK",CHAR(10)&amp;VLOOKUP("AMLA_VR_AML.03.06_C0060_01",$A:$I,9,0),"")&amp;IF(VLOOKUP("AMLA_VR_AML.03.06_C0060_02",$A:$I,9,0)&lt;&gt;"OK",CHAR(10)&amp;VLOOKUP("AMLA_VR_AML.03.06_C0060_02",$A:$I,9,0),"")&amp;IF(VLOOKUP("AMLA_VR_AML.03.06_C0060_03",$A:$I,9,0)&lt;&gt;"OK",CHAR(10)&amp;VLOOKUP("AMLA_VR_AML.03.06_C0060_03",$A:$I,9,0),""),2,3000))</f>
        <v>OK</v>
      </c>
      <c r="K203" s="160" t="s">
        <v>1775</v>
      </c>
    </row>
    <row r="204" spans="1:11">
      <c r="A204" s="159" t="str">
        <f>"AMLA_VR_" &amp; B204 &amp; "_" &amp; C204 &amp; "_" &amp; TEXT(COUNTIFS($B$2:B204, B204, $C$2:C204, C204), "00")</f>
        <v>AMLA_VR_AML.03.06_C0060_02</v>
      </c>
      <c r="B204" s="160" t="s">
        <v>199</v>
      </c>
      <c r="C204" s="160" t="s">
        <v>86</v>
      </c>
      <c r="D204" s="160" t="s">
        <v>1554</v>
      </c>
      <c r="E204" s="160" t="str" cm="1">
        <f t="array" aca="1" ref="E204" ca="1">IF(C204="", INDIRECT("'"&amp;B204&amp;"'!B3"), INDEX(INDIRECT("'"&amp;B204&amp;"'!5:5"), COLUMN(INDIRECT("'"&amp;B204&amp;"'!"&amp;D204))))</f>
        <v>Currency Exchange - Buy (Value)</v>
      </c>
      <c r="F204" s="160" t="s">
        <v>1776</v>
      </c>
      <c r="G204" s="160" t="s">
        <v>1773</v>
      </c>
      <c r="H204" s="161" t="s">
        <v>1837</v>
      </c>
      <c r="I204" s="160" t="str">
        <f>IF(TRIM(SUBSTITUTE('AML.03.06'!$G$11&amp;"",CHAR(160),""))="","OK",IF(NOT(ISNUMBER('AML.03.06'!$G$11)),$G204&amp;": "&amp;$H204,"OK"))</f>
        <v>OK</v>
      </c>
      <c r="J204" s="160" t="str">
        <f>IF(LEN(IF(VLOOKUP("AMLA_VR_AML.03.06_C0060_01",$A:$I,9,0)&lt;&gt;"OK",CHAR(10)&amp;VLOOKUP("AMLA_VR_AML.03.06_C0060_01",$A:$I,9,0),"")&amp;IF(VLOOKUP("AMLA_VR_AML.03.06_C0060_02",$A:$I,9,0)&lt;&gt;"OK",CHAR(10)&amp;VLOOKUP("AMLA_VR_AML.03.06_C0060_02",$A:$I,9,0),"")&amp;IF(VLOOKUP("AMLA_VR_AML.03.06_C0060_03",$A:$I,9,0)&lt;&gt;"OK",CHAR(10)&amp;VLOOKUP("AMLA_VR_AML.03.06_C0060_03",$A:$I,9,0),""))=0,"OK",MID(IF(VLOOKUP("AMLA_VR_AML.03.06_C0060_01",$A:$I,9,0)&lt;&gt;"OK",CHAR(10)&amp;VLOOKUP("AMLA_VR_AML.03.06_C0060_01",$A:$I,9,0),"")&amp;IF(VLOOKUP("AMLA_VR_AML.03.06_C0060_02",$A:$I,9,0)&lt;&gt;"OK",CHAR(10)&amp;VLOOKUP("AMLA_VR_AML.03.06_C0060_02",$A:$I,9,0),"")&amp;IF(VLOOKUP("AMLA_VR_AML.03.06_C0060_03",$A:$I,9,0)&lt;&gt;"OK",CHAR(10)&amp;VLOOKUP("AMLA_VR_AML.03.06_C0060_03",$A:$I,9,0),""),2,3000))</f>
        <v>OK</v>
      </c>
      <c r="K204" s="160" t="s">
        <v>1775</v>
      </c>
    </row>
    <row r="205" spans="1:11">
      <c r="A205" s="159" t="str">
        <f>"AMLA_VR_" &amp; B205 &amp; "_" &amp; C205 &amp; "_" &amp; TEXT(COUNTIFS($B$2:B205, B205, $C$2:C205, C205), "00")</f>
        <v>AMLA_VR_AML.03.06_C0060_03</v>
      </c>
      <c r="B205" s="157" t="s">
        <v>199</v>
      </c>
      <c r="C205" s="157" t="s">
        <v>86</v>
      </c>
      <c r="D205" s="157" t="s">
        <v>1554</v>
      </c>
      <c r="E205" s="160" t="str" cm="1">
        <f t="array" aca="1" ref="E205" ca="1">IF(C205="", INDIRECT("'"&amp;B205&amp;"'!B3"), INDEX(INDIRECT("'"&amp;B205&amp;"'!5:5"), COLUMN(INDIRECT("'"&amp;B205&amp;"'!"&amp;D205))))</f>
        <v>Currency Exchange - Buy (Value)</v>
      </c>
      <c r="F205" s="157" t="s">
        <v>1772</v>
      </c>
      <c r="G205" s="157" t="s">
        <v>1813</v>
      </c>
      <c r="H205" s="158" t="s">
        <v>1854</v>
      </c>
      <c r="I205" s="157" t="str">
        <f>IF(AND('AML.03.06'!$G$11=0, 'AML.03.06'!$C$11&gt;0), $G205 &amp; ": " &amp; $H205, "OK")</f>
        <v>OK</v>
      </c>
      <c r="J205" s="157" t="str">
        <f>IF(LEN(IF(VLOOKUP("AMLA_VR_AML.03.06_C0060_01",$A:$I,9,0)&lt;&gt;"OK",CHAR(10)&amp;VLOOKUP("AMLA_VR_AML.03.06_C0060_01",$A:$I,9,0),"")&amp;IF(VLOOKUP("AMLA_VR_AML.03.06_C0060_02",$A:$I,9,0)&lt;&gt;"OK",CHAR(10)&amp;VLOOKUP("AMLA_VR_AML.03.06_C0060_02",$A:$I,9,0),"")&amp;IF(VLOOKUP("AMLA_VR_AML.03.06_C0060_03",$A:$I,9,0)&lt;&gt;"OK",CHAR(10)&amp;VLOOKUP("AMLA_VR_AML.03.06_C0060_03",$A:$I,9,0),""))=0,"OK",MID(IF(VLOOKUP("AMLA_VR_AML.03.06_C0060_01",$A:$I,9,0)&lt;&gt;"OK",CHAR(10)&amp;VLOOKUP("AMLA_VR_AML.03.06_C0060_01",$A:$I,9,0),"")&amp;IF(VLOOKUP("AMLA_VR_AML.03.06_C0060_02",$A:$I,9,0)&lt;&gt;"OK",CHAR(10)&amp;VLOOKUP("AMLA_VR_AML.03.06_C0060_02",$A:$I,9,0),"")&amp;IF(VLOOKUP("AMLA_VR_AML.03.06_C0060_03",$A:$I,9,0)&lt;&gt;"OK",CHAR(10)&amp;VLOOKUP("AMLA_VR_AML.03.06_C0060_03",$A:$I,9,0),""),2,3000))</f>
        <v>OK</v>
      </c>
      <c r="K205" s="157" t="s">
        <v>1775</v>
      </c>
    </row>
    <row r="206" spans="1:11">
      <c r="A206" s="159" t="str">
        <f>"AMLA_VR_" &amp; B206 &amp; "_" &amp; C206 &amp; "_" &amp; TEXT(COUNTIFS($B$2:B206, B206, $C$2:C206, C206), "00")</f>
        <v>AMLA_VR_AML.03.06_C0070_01</v>
      </c>
      <c r="B206" s="160" t="s">
        <v>199</v>
      </c>
      <c r="C206" s="160" t="s">
        <v>87</v>
      </c>
      <c r="D206" s="160" t="s">
        <v>1555</v>
      </c>
      <c r="E206" s="160" t="str" cm="1">
        <f t="array" aca="1" ref="E206" ca="1">IF(C206="", INDIRECT("'"&amp;B206&amp;"'!B3"), INDEX(INDIRECT("'"&amp;B206&amp;"'!5:5"), COLUMN(INDIRECT("'"&amp;B206&amp;"'!"&amp;D206))))</f>
        <v>Currency Exchange - Cash-to-Cash (Value)</v>
      </c>
      <c r="F206" s="160" t="s">
        <v>1772</v>
      </c>
      <c r="G206" s="160" t="s">
        <v>1773</v>
      </c>
      <c r="H206" s="161" t="s">
        <v>1824</v>
      </c>
      <c r="I206" s="160" t="str">
        <f>IF('AML.03.06'!$H$11&lt;0, $G206 &amp; ": " &amp; $H206, "OK")</f>
        <v>OK</v>
      </c>
      <c r="J206" s="160" t="str">
        <f>IF(LEN(IF(VLOOKUP("AMLA_VR_AML.03.06_C0070_01",$A:$I,9,0)&lt;&gt;"OK",CHAR(10)&amp;VLOOKUP("AMLA_VR_AML.03.06_C0070_01",$A:$I,9,0),"")&amp;IF(VLOOKUP("AMLA_VR_AML.03.06_C0070_02",$A:$I,9,0)&lt;&gt;"OK",CHAR(10)&amp;VLOOKUP("AMLA_VR_AML.03.06_C0070_02",$A:$I,9,0),"")&amp;IF(VLOOKUP("AMLA_VR_AML.03.06_C0070_03",$A:$I,9,0)&lt;&gt;"OK",CHAR(10)&amp;VLOOKUP("AMLA_VR_AML.03.06_C0070_03",$A:$I,9,0),""))=0,"OK",MID(IF(VLOOKUP("AMLA_VR_AML.03.06_C0070_01",$A:$I,9,0)&lt;&gt;"OK",CHAR(10)&amp;VLOOKUP("AMLA_VR_AML.03.06_C0070_01",$A:$I,9,0),"")&amp;IF(VLOOKUP("AMLA_VR_AML.03.06_C0070_02",$A:$I,9,0)&lt;&gt;"OK",CHAR(10)&amp;VLOOKUP("AMLA_VR_AML.03.06_C0070_02",$A:$I,9,0),"")&amp;IF(VLOOKUP("AMLA_VR_AML.03.06_C0070_03",$A:$I,9,0)&lt;&gt;"OK",CHAR(10)&amp;VLOOKUP("AMLA_VR_AML.03.06_C0070_03",$A:$I,9,0),""),2,3000))</f>
        <v>OK</v>
      </c>
      <c r="K206" s="160" t="s">
        <v>1775</v>
      </c>
    </row>
    <row r="207" spans="1:11">
      <c r="A207" s="159" t="str">
        <f>"AMLA_VR_" &amp; B207 &amp; "_" &amp; C207 &amp; "_" &amp; TEXT(COUNTIFS($B$2:B207, B207, $C$2:C207, C207), "00")</f>
        <v>AMLA_VR_AML.03.06_C0070_02</v>
      </c>
      <c r="B207" s="157" t="s">
        <v>199</v>
      </c>
      <c r="C207" s="157" t="s">
        <v>87</v>
      </c>
      <c r="D207" s="157" t="s">
        <v>1555</v>
      </c>
      <c r="E207" s="160" t="str" cm="1">
        <f t="array" aca="1" ref="E207" ca="1">IF(C207="", INDIRECT("'"&amp;B207&amp;"'!B3"), INDEX(INDIRECT("'"&amp;B207&amp;"'!5:5"), COLUMN(INDIRECT("'"&amp;B207&amp;"'!"&amp;D207))))</f>
        <v>Currency Exchange - Cash-to-Cash (Value)</v>
      </c>
      <c r="F207" s="157" t="s">
        <v>1776</v>
      </c>
      <c r="G207" s="157" t="s">
        <v>1773</v>
      </c>
      <c r="H207" s="158" t="s">
        <v>1837</v>
      </c>
      <c r="I207" s="157" t="str">
        <f>IF(TRIM(SUBSTITUTE('AML.03.06'!$H$11&amp;"",CHAR(160),""))="","OK",IF(NOT(ISNUMBER('AML.03.06'!$H$11)),$G207&amp;": "&amp;$H207,"OK"))</f>
        <v>OK</v>
      </c>
      <c r="J207" s="157" t="str">
        <f>IF(LEN(IF(VLOOKUP("AMLA_VR_AML.03.06_C0070_01",$A:$I,9,0)&lt;&gt;"OK",CHAR(10)&amp;VLOOKUP("AMLA_VR_AML.03.06_C0070_01",$A:$I,9,0),"")&amp;IF(VLOOKUP("AMLA_VR_AML.03.06_C0070_02",$A:$I,9,0)&lt;&gt;"OK",CHAR(10)&amp;VLOOKUP("AMLA_VR_AML.03.06_C0070_02",$A:$I,9,0),"")&amp;IF(VLOOKUP("AMLA_VR_AML.03.06_C0070_03",$A:$I,9,0)&lt;&gt;"OK",CHAR(10)&amp;VLOOKUP("AMLA_VR_AML.03.06_C0070_03",$A:$I,9,0),""))=0,"OK",MID(IF(VLOOKUP("AMLA_VR_AML.03.06_C0070_01",$A:$I,9,0)&lt;&gt;"OK",CHAR(10)&amp;VLOOKUP("AMLA_VR_AML.03.06_C0070_01",$A:$I,9,0),"")&amp;IF(VLOOKUP("AMLA_VR_AML.03.06_C0070_02",$A:$I,9,0)&lt;&gt;"OK",CHAR(10)&amp;VLOOKUP("AMLA_VR_AML.03.06_C0070_02",$A:$I,9,0),"")&amp;IF(VLOOKUP("AMLA_VR_AML.03.06_C0070_03",$A:$I,9,0)&lt;&gt;"OK",CHAR(10)&amp;VLOOKUP("AMLA_VR_AML.03.06_C0070_03",$A:$I,9,0),""),2,3000))</f>
        <v>OK</v>
      </c>
      <c r="K207" s="157" t="s">
        <v>1775</v>
      </c>
    </row>
    <row r="208" spans="1:11">
      <c r="A208" s="159" t="str">
        <f>"AMLA_VR_" &amp; B208 &amp; "_" &amp; C208 &amp; "_" &amp; TEXT(COUNTIFS($B$2:B208, B208, $C$2:C208, C208), "00")</f>
        <v>AMLA_VR_AML.03.06_C0070_03</v>
      </c>
      <c r="B208" s="157" t="s">
        <v>199</v>
      </c>
      <c r="C208" s="157" t="s">
        <v>87</v>
      </c>
      <c r="D208" s="157" t="s">
        <v>1555</v>
      </c>
      <c r="E208" s="160" t="str" cm="1">
        <f t="array" aca="1" ref="E208" ca="1">IF(C208="", INDIRECT("'"&amp;B208&amp;"'!B3"), INDEX(INDIRECT("'"&amp;B208&amp;"'!5:5"), COLUMN(INDIRECT("'"&amp;B208&amp;"'!"&amp;D208))))</f>
        <v>Currency Exchange - Cash-to-Cash (Value)</v>
      </c>
      <c r="F208" s="157" t="s">
        <v>1772</v>
      </c>
      <c r="G208" s="157" t="s">
        <v>1813</v>
      </c>
      <c r="H208" s="158" t="s">
        <v>1855</v>
      </c>
      <c r="I208" s="157" t="str">
        <f>IF(AND('AML.03.06'!$H$11=0, 'AML.03.06'!$B$11&gt;0), $G208 &amp; ": " &amp; $H208, "OK")</f>
        <v>OK</v>
      </c>
      <c r="J208" s="157" t="str">
        <f>IF(LEN(IF(VLOOKUP("AMLA_VR_AML.03.06_C0070_01",$A:$I,9,0)&lt;&gt;"OK",CHAR(10)&amp;VLOOKUP("AMLA_VR_AML.03.06_C0070_01",$A:$I,9,0),"")&amp;IF(VLOOKUP("AMLA_VR_AML.03.06_C0070_02",$A:$I,9,0)&lt;&gt;"OK",CHAR(10)&amp;VLOOKUP("AMLA_VR_AML.03.06_C0070_02",$A:$I,9,0),"")&amp;IF(VLOOKUP("AMLA_VR_AML.03.06_C0070_03",$A:$I,9,0)&lt;&gt;"OK",CHAR(10)&amp;VLOOKUP("AMLA_VR_AML.03.06_C0070_03",$A:$I,9,0),""))=0,"OK",MID(IF(VLOOKUP("AMLA_VR_AML.03.06_C0070_01",$A:$I,9,0)&lt;&gt;"OK",CHAR(10)&amp;VLOOKUP("AMLA_VR_AML.03.06_C0070_01",$A:$I,9,0),"")&amp;IF(VLOOKUP("AMLA_VR_AML.03.06_C0070_02",$A:$I,9,0)&lt;&gt;"OK",CHAR(10)&amp;VLOOKUP("AMLA_VR_AML.03.06_C0070_02",$A:$I,9,0),"")&amp;IF(VLOOKUP("AMLA_VR_AML.03.06_C0070_03",$A:$I,9,0)&lt;&gt;"OK",CHAR(10)&amp;VLOOKUP("AMLA_VR_AML.03.06_C0070_03",$A:$I,9,0),""),2,3000))</f>
        <v>OK</v>
      </c>
      <c r="K208" s="157" t="s">
        <v>1775</v>
      </c>
    </row>
    <row r="209" spans="1:11">
      <c r="A209" s="159" t="str">
        <f>"AMLA_VR_" &amp; B209 &amp; "_" &amp; C209 &amp; "_" &amp; TEXT(COUNTIFS($B$2:B209, B209, $C$2:C209, C209), "00")</f>
        <v>AMLA_VR_AML.04.01_C0010_01</v>
      </c>
      <c r="B209" s="160" t="s">
        <v>209</v>
      </c>
      <c r="C209" s="160" t="s">
        <v>81</v>
      </c>
      <c r="D209" s="160" t="s">
        <v>1549</v>
      </c>
      <c r="E209" s="160" t="str" cm="1">
        <f t="array" aca="1" ref="E209" ca="1">IF(C209="", INDIRECT("'"&amp;B209&amp;"'!B3"), INDEX(INDIRECT("'"&amp;B209&amp;"'!5:5"), COLUMN(INDIRECT("'"&amp;B209&amp;"'!"&amp;D209))))</f>
        <v>Retail Clients (MiFID)</v>
      </c>
      <c r="F209" s="160" t="s">
        <v>1772</v>
      </c>
      <c r="G209" s="160" t="s">
        <v>1773</v>
      </c>
      <c r="H209" s="161" t="s">
        <v>1815</v>
      </c>
      <c r="I209" s="160" t="str">
        <f>IF('AML.04.01'!$B$11&lt;0, $G209 &amp; ": " &amp; $H209, "OK")</f>
        <v>OK</v>
      </c>
      <c r="J209" s="160" t="str">
        <f>IF(LEN(IF(VLOOKUP("AMLA_VR_AML.04.01_C0010_01",$A:$I,9,0)&lt;&gt;"OK",CHAR(10)&amp;VLOOKUP("AMLA_VR_AML.04.01_C0010_01",$A:$I,9,0),"")&amp;IF(VLOOKUP("AMLA_VR_AML.04.01_C0010_02",$A:$I,9,0)&lt;&gt;"OK",CHAR(10)&amp;VLOOKUP("AMLA_VR_AML.04.01_C0010_02",$A:$I,9,0),""))=0,"OK",MID(IF(VLOOKUP("AMLA_VR_AML.04.01_C0010_01",$A:$I,9,0)&lt;&gt;"OK",CHAR(10)&amp;VLOOKUP("AMLA_VR_AML.04.01_C0010_01",$A:$I,9,0),"")&amp;IF(VLOOKUP("AMLA_VR_AML.04.01_C0010_02",$A:$I,9,0)&lt;&gt;"OK",CHAR(10)&amp;VLOOKUP("AMLA_VR_AML.04.01_C0010_02",$A:$I,9,0),""),2,3000))</f>
        <v>OK</v>
      </c>
      <c r="K209" s="160" t="s">
        <v>1775</v>
      </c>
    </row>
    <row r="210" spans="1:11">
      <c r="A210" s="159" t="str">
        <f>"AMLA_VR_" &amp; B210 &amp; "_" &amp; C210 &amp; "_" &amp; TEXT(COUNTIFS($B$2:B210, B210, $C$2:C210, C210), "00")</f>
        <v>AMLA_VR_AML.04.01_C0010_02</v>
      </c>
      <c r="B210" s="160" t="s">
        <v>209</v>
      </c>
      <c r="C210" s="160" t="s">
        <v>81</v>
      </c>
      <c r="D210" s="160" t="s">
        <v>1549</v>
      </c>
      <c r="E210" s="160" t="str" cm="1">
        <f t="array" aca="1" ref="E210" ca="1">IF(C210="", INDIRECT("'"&amp;B210&amp;"'!B3"), INDEX(INDIRECT("'"&amp;B210&amp;"'!5:5"), COLUMN(INDIRECT("'"&amp;B210&amp;"'!"&amp;D210))))</f>
        <v>Retail Clients (MiFID)</v>
      </c>
      <c r="F210" s="160" t="s">
        <v>1776</v>
      </c>
      <c r="G210" s="160" t="s">
        <v>1773</v>
      </c>
      <c r="H210" s="161" t="s">
        <v>1816</v>
      </c>
      <c r="I210" s="160" t="str">
        <f>IF(TRIM(SUBSTITUTE('AML.04.01'!$B$11&amp;"",CHAR(160),""))="","OK",IF(OR(NOT(ISNUMBER('AML.04.01'!$B$11)),IFERROR(INT('AML.04.01'!$B$11)&lt;&gt;'AML.04.01'!$B$11,TRUE)),$G210&amp;": "&amp;$H210,"OK"))</f>
        <v>OK</v>
      </c>
      <c r="J210" s="160" t="str">
        <f>IF(LEN(IF(VLOOKUP("AMLA_VR_AML.04.01_C0010_01",$A:$I,9,0)&lt;&gt;"OK",CHAR(10)&amp;VLOOKUP("AMLA_VR_AML.04.01_C0010_01",$A:$I,9,0),"")&amp;IF(VLOOKUP("AMLA_VR_AML.04.01_C0010_02",$A:$I,9,0)&lt;&gt;"OK",CHAR(10)&amp;VLOOKUP("AMLA_VR_AML.04.01_C0010_02",$A:$I,9,0),""))=0,"OK",MID(IF(VLOOKUP("AMLA_VR_AML.04.01_C0010_01",$A:$I,9,0)&lt;&gt;"OK",CHAR(10)&amp;VLOOKUP("AMLA_VR_AML.04.01_C0010_01",$A:$I,9,0),"")&amp;IF(VLOOKUP("AMLA_VR_AML.04.01_C0010_02",$A:$I,9,0)&lt;&gt;"OK",CHAR(10)&amp;VLOOKUP("AMLA_VR_AML.04.01_C0010_02",$A:$I,9,0),""),2,3000))</f>
        <v>OK</v>
      </c>
      <c r="K210" s="160" t="s">
        <v>1775</v>
      </c>
    </row>
    <row r="211" spans="1:11">
      <c r="A211" s="159" t="str">
        <f>"AMLA_VR_" &amp; B211 &amp; "_" &amp; C211 &amp; "_" &amp; TEXT(COUNTIFS($B$2:B211, B211, $C$2:C211, C211), "00")</f>
        <v>AMLA_VR_AML.04.01_C0020_01</v>
      </c>
      <c r="B211" s="157" t="s">
        <v>209</v>
      </c>
      <c r="C211" s="157" t="s">
        <v>82</v>
      </c>
      <c r="D211" s="157" t="s">
        <v>1550</v>
      </c>
      <c r="E211" s="160" t="str" cm="1">
        <f t="array" aca="1" ref="E211" ca="1">IF(C211="", INDIRECT("'"&amp;B211&amp;"'!B3"), INDEX(INDIRECT("'"&amp;B211&amp;"'!5:5"), COLUMN(INDIRECT("'"&amp;B211&amp;"'!"&amp;D211))))</f>
        <v>Professional Clients (MiFID)</v>
      </c>
      <c r="F211" s="157" t="s">
        <v>1772</v>
      </c>
      <c r="G211" s="157" t="s">
        <v>1773</v>
      </c>
      <c r="H211" s="158" t="s">
        <v>1819</v>
      </c>
      <c r="I211" s="157" t="str">
        <f>IF('AML.04.01'!$C$11&lt;0, $G211 &amp; ": " &amp; $H211, "OK")</f>
        <v>OK</v>
      </c>
      <c r="J211" s="157" t="str">
        <f>IF(LEN(IF(VLOOKUP("AMLA_VR_AML.04.01_C0020_01",$A:$I,9,0)&lt;&gt;"OK",CHAR(10)&amp;VLOOKUP("AMLA_VR_AML.04.01_C0020_01",$A:$I,9,0),"")&amp;IF(VLOOKUP("AMLA_VR_AML.04.01_C0020_02",$A:$I,9,0)&lt;&gt;"OK",CHAR(10)&amp;VLOOKUP("AMLA_VR_AML.04.01_C0020_02",$A:$I,9,0),""))=0,"OK",MID(IF(VLOOKUP("AMLA_VR_AML.04.01_C0020_01",$A:$I,9,0)&lt;&gt;"OK",CHAR(10)&amp;VLOOKUP("AMLA_VR_AML.04.01_C0020_01",$A:$I,9,0),"")&amp;IF(VLOOKUP("AMLA_VR_AML.04.01_C0020_02",$A:$I,9,0)&lt;&gt;"OK",CHAR(10)&amp;VLOOKUP("AMLA_VR_AML.04.01_C0020_02",$A:$I,9,0),""),2,3000))</f>
        <v>OK</v>
      </c>
      <c r="K211" s="157" t="s">
        <v>1775</v>
      </c>
    </row>
    <row r="212" spans="1:11">
      <c r="A212" s="159" t="str">
        <f>"AMLA_VR_" &amp; B212 &amp; "_" &amp; C212 &amp; "_" &amp; TEXT(COUNTIFS($B$2:B212, B212, $C$2:C212, C212), "00")</f>
        <v>AMLA_VR_AML.04.01_C0020_02</v>
      </c>
      <c r="B212" s="157" t="s">
        <v>209</v>
      </c>
      <c r="C212" s="157" t="s">
        <v>82</v>
      </c>
      <c r="D212" s="157" t="s">
        <v>1550</v>
      </c>
      <c r="E212" s="160" t="str" cm="1">
        <f t="array" aca="1" ref="E212" ca="1">IF(C212="", INDIRECT("'"&amp;B212&amp;"'!B3"), INDEX(INDIRECT("'"&amp;B212&amp;"'!5:5"), COLUMN(INDIRECT("'"&amp;B212&amp;"'!"&amp;D212))))</f>
        <v>Professional Clients (MiFID)</v>
      </c>
      <c r="F212" s="157" t="s">
        <v>1776</v>
      </c>
      <c r="G212" s="157" t="s">
        <v>1773</v>
      </c>
      <c r="H212" s="158" t="s">
        <v>1816</v>
      </c>
      <c r="I212" s="157" t="str">
        <f>IF(TRIM(SUBSTITUTE('AML.04.01'!$C$11&amp;"",CHAR(160),""))="","OK",IF(OR(NOT(ISNUMBER('AML.04.01'!$C$11)),IFERROR(INT('AML.04.01'!$C$11)&lt;&gt;'AML.04.01'!$C$11,TRUE)),$G212&amp;": "&amp;$H212,"OK"))</f>
        <v>OK</v>
      </c>
      <c r="J212" s="157" t="str">
        <f>IF(LEN(IF(VLOOKUP("AMLA_VR_AML.04.01_C0020_01",$A:$I,9,0)&lt;&gt;"OK",CHAR(10)&amp;VLOOKUP("AMLA_VR_AML.04.01_C0020_01",$A:$I,9,0),"")&amp;IF(VLOOKUP("AMLA_VR_AML.04.01_C0020_02",$A:$I,9,0)&lt;&gt;"OK",CHAR(10)&amp;VLOOKUP("AMLA_VR_AML.04.01_C0020_02",$A:$I,9,0),""))=0,"OK",MID(IF(VLOOKUP("AMLA_VR_AML.04.01_C0020_01",$A:$I,9,0)&lt;&gt;"OK",CHAR(10)&amp;VLOOKUP("AMLA_VR_AML.04.01_C0020_01",$A:$I,9,0),"")&amp;IF(VLOOKUP("AMLA_VR_AML.04.01_C0020_02",$A:$I,9,0)&lt;&gt;"OK",CHAR(10)&amp;VLOOKUP("AMLA_VR_AML.04.01_C0020_02",$A:$I,9,0),""),2,3000))</f>
        <v>OK</v>
      </c>
      <c r="K212" s="157" t="s">
        <v>1775</v>
      </c>
    </row>
    <row r="213" spans="1:11">
      <c r="A213" s="159" t="str">
        <f>"AMLA_VR_" &amp; B213 &amp; "_" &amp; C213 &amp; "_" &amp; TEXT(COUNTIFS($B$2:B213, B213, $C$2:C213, C213), "00")</f>
        <v>AMLA_VR_AML.04.01_C0030_01</v>
      </c>
      <c r="B213" s="160" t="s">
        <v>209</v>
      </c>
      <c r="C213" s="160" t="s">
        <v>83</v>
      </c>
      <c r="D213" s="160" t="s">
        <v>1551</v>
      </c>
      <c r="E213" s="160" t="str" cm="1">
        <f t="array" aca="1" ref="E213" ca="1">IF(C213="", INDIRECT("'"&amp;B213&amp;"'!B3"), INDEX(INDIRECT("'"&amp;B213&amp;"'!5:5"), COLUMN(INDIRECT("'"&amp;B213&amp;"'!"&amp;D213))))</f>
        <v>Non-EEA AML/CFT Regulated Customers</v>
      </c>
      <c r="F213" s="160" t="s">
        <v>1772</v>
      </c>
      <c r="G213" s="160" t="s">
        <v>1773</v>
      </c>
      <c r="H213" s="161" t="s">
        <v>1820</v>
      </c>
      <c r="I213" s="160" t="str">
        <f>IF('AML.04.01'!$D$11&lt;0, $G213 &amp; ": " &amp; $H213, "OK")</f>
        <v>OK</v>
      </c>
      <c r="J213" s="160" t="str">
        <f>IF(LEN(IF(VLOOKUP("AMLA_VR_AML.04.01_C0030_01",$A:$I,9,0)&lt;&gt;"OK",CHAR(10)&amp;VLOOKUP("AMLA_VR_AML.04.01_C0030_01",$A:$I,9,0),"")&amp;IF(VLOOKUP("AMLA_VR_AML.04.01_C0030_02",$A:$I,9,0)&lt;&gt;"OK",CHAR(10)&amp;VLOOKUP("AMLA_VR_AML.04.01_C0030_02",$A:$I,9,0),""))=0,"OK",MID(IF(VLOOKUP("AMLA_VR_AML.04.01_C0030_01",$A:$I,9,0)&lt;&gt;"OK",CHAR(10)&amp;VLOOKUP("AMLA_VR_AML.04.01_C0030_01",$A:$I,9,0),"")&amp;IF(VLOOKUP("AMLA_VR_AML.04.01_C0030_02",$A:$I,9,0)&lt;&gt;"OK",CHAR(10)&amp;VLOOKUP("AMLA_VR_AML.04.01_C0030_02",$A:$I,9,0),""),2,3000))</f>
        <v>OK</v>
      </c>
      <c r="K213" s="160" t="s">
        <v>1775</v>
      </c>
    </row>
    <row r="214" spans="1:11">
      <c r="A214" s="159" t="str">
        <f>"AMLA_VR_" &amp; B214 &amp; "_" &amp; C214 &amp; "_" &amp; TEXT(COUNTIFS($B$2:B214, B214, $C$2:C214, C214), "00")</f>
        <v>AMLA_VR_AML.04.01_C0030_02</v>
      </c>
      <c r="B214" s="160" t="s">
        <v>209</v>
      </c>
      <c r="C214" s="160" t="s">
        <v>83</v>
      </c>
      <c r="D214" s="160" t="s">
        <v>1551</v>
      </c>
      <c r="E214" s="160" t="str" cm="1">
        <f t="array" aca="1" ref="E214" ca="1">IF(C214="", INDIRECT("'"&amp;B214&amp;"'!B3"), INDEX(INDIRECT("'"&amp;B214&amp;"'!5:5"), COLUMN(INDIRECT("'"&amp;B214&amp;"'!"&amp;D214))))</f>
        <v>Non-EEA AML/CFT Regulated Customers</v>
      </c>
      <c r="F214" s="160" t="s">
        <v>1776</v>
      </c>
      <c r="G214" s="160" t="s">
        <v>1773</v>
      </c>
      <c r="H214" s="161" t="s">
        <v>1816</v>
      </c>
      <c r="I214" s="160" t="str">
        <f>IF(TRIM(SUBSTITUTE('AML.04.01'!$D$11&amp;"",CHAR(160),""))="","OK",IF(OR(NOT(ISNUMBER('AML.04.01'!$D$11)),IFERROR(INT('AML.04.01'!$D$11)&lt;&gt;'AML.04.01'!$D$11,TRUE)),$G214&amp;": "&amp;$H214,"OK"))</f>
        <v>OK</v>
      </c>
      <c r="J214" s="160" t="str">
        <f>IF(LEN(IF(VLOOKUP("AMLA_VR_AML.04.01_C0030_01",$A:$I,9,0)&lt;&gt;"OK",CHAR(10)&amp;VLOOKUP("AMLA_VR_AML.04.01_C0030_01",$A:$I,9,0),"")&amp;IF(VLOOKUP("AMLA_VR_AML.04.01_C0030_02",$A:$I,9,0)&lt;&gt;"OK",CHAR(10)&amp;VLOOKUP("AMLA_VR_AML.04.01_C0030_02",$A:$I,9,0),""))=0,"OK",MID(IF(VLOOKUP("AMLA_VR_AML.04.01_C0030_01",$A:$I,9,0)&lt;&gt;"OK",CHAR(10)&amp;VLOOKUP("AMLA_VR_AML.04.01_C0030_01",$A:$I,9,0),"")&amp;IF(VLOOKUP("AMLA_VR_AML.04.01_C0030_02",$A:$I,9,0)&lt;&gt;"OK",CHAR(10)&amp;VLOOKUP("AMLA_VR_AML.04.01_C0030_02",$A:$I,9,0),""),2,3000))</f>
        <v>OK</v>
      </c>
      <c r="K214" s="160" t="s">
        <v>1775</v>
      </c>
    </row>
    <row r="215" spans="1:11">
      <c r="A215" s="159" t="str">
        <f>"AMLA_VR_" &amp; B215 &amp; "_" &amp; C215 &amp; "_" &amp; TEXT(COUNTIFS($B$2:B215, B215, $C$2:C215, C215), "00")</f>
        <v>AMLA_VR_AML.04.01_C0040_01</v>
      </c>
      <c r="B215" s="157" t="s">
        <v>209</v>
      </c>
      <c r="C215" s="157" t="s">
        <v>84</v>
      </c>
      <c r="D215" s="157" t="s">
        <v>1552</v>
      </c>
      <c r="E215" s="160" t="str" cm="1">
        <f t="array" aca="1" ref="E215" ca="1">IF(C215="", INDIRECT("'"&amp;B215&amp;"'!B3"), INDEX(INDIRECT("'"&amp;B215&amp;"'!5:5"), COLUMN(INDIRECT("'"&amp;B215&amp;"'!"&amp;D215))))</f>
        <v>Retail Clients (MiFID)</v>
      </c>
      <c r="F215" s="157" t="s">
        <v>1772</v>
      </c>
      <c r="G215" s="157" t="s">
        <v>1773</v>
      </c>
      <c r="H215" s="158" t="s">
        <v>1821</v>
      </c>
      <c r="I215" s="157" t="str">
        <f>IF('AML.04.01'!$E$11&lt;0, $G215 &amp; ": " &amp; $H215, "OK")</f>
        <v>OK</v>
      </c>
      <c r="J215" s="157" t="str">
        <f>IF(LEN(IF(VLOOKUP("AMLA_VR_AML.04.01_C0040_01",$A:$I,9,0)&lt;&gt;"OK",CHAR(10)&amp;VLOOKUP("AMLA_VR_AML.04.01_C0040_01",$A:$I,9,0),"")&amp;IF(VLOOKUP("AMLA_VR_AML.04.01_C0040_02",$A:$I,9,0)&lt;&gt;"OK",CHAR(10)&amp;VLOOKUP("AMLA_VR_AML.04.01_C0040_02",$A:$I,9,0),""))=0,"OK",MID(IF(VLOOKUP("AMLA_VR_AML.04.01_C0040_01",$A:$I,9,0)&lt;&gt;"OK",CHAR(10)&amp;VLOOKUP("AMLA_VR_AML.04.01_C0040_01",$A:$I,9,0),"")&amp;IF(VLOOKUP("AMLA_VR_AML.04.01_C0040_02",$A:$I,9,0)&lt;&gt;"OK",CHAR(10)&amp;VLOOKUP("AMLA_VR_AML.04.01_C0040_02",$A:$I,9,0),""),2,3000))</f>
        <v>OK</v>
      </c>
      <c r="K215" s="157" t="s">
        <v>1775</v>
      </c>
    </row>
    <row r="216" spans="1:11">
      <c r="A216" s="159" t="str">
        <f>"AMLA_VR_" &amp; B216 &amp; "_" &amp; C216 &amp; "_" &amp; TEXT(COUNTIFS($B$2:B216, B216, $C$2:C216, C216), "00")</f>
        <v>AMLA_VR_AML.04.01_C0040_02</v>
      </c>
      <c r="B216" s="157" t="s">
        <v>209</v>
      </c>
      <c r="C216" s="157" t="s">
        <v>84</v>
      </c>
      <c r="D216" s="157" t="s">
        <v>1552</v>
      </c>
      <c r="E216" s="160" t="str" cm="1">
        <f t="array" aca="1" ref="E216" ca="1">IF(C216="", INDIRECT("'"&amp;B216&amp;"'!B3"), INDEX(INDIRECT("'"&amp;B216&amp;"'!5:5"), COLUMN(INDIRECT("'"&amp;B216&amp;"'!"&amp;D216))))</f>
        <v>Retail Clients (MiFID)</v>
      </c>
      <c r="F216" s="157" t="s">
        <v>1776</v>
      </c>
      <c r="G216" s="157" t="s">
        <v>1773</v>
      </c>
      <c r="H216" s="158" t="s">
        <v>1816</v>
      </c>
      <c r="I216" s="157" t="str">
        <f>IF(TRIM(SUBSTITUTE('AML.04.01'!$E$11&amp;"",CHAR(160),""))="","OK",IF(OR(NOT(ISNUMBER('AML.04.01'!$E$11)),IFERROR(INT('AML.04.01'!$E$11)&lt;&gt;'AML.04.01'!$E$11,TRUE)),$G216&amp;": "&amp;$H216,"OK"))</f>
        <v>OK</v>
      </c>
      <c r="J216" s="157" t="str">
        <f>IF(LEN(IF(VLOOKUP("AMLA_VR_AML.04.01_C0040_01",$A:$I,9,0)&lt;&gt;"OK",CHAR(10)&amp;VLOOKUP("AMLA_VR_AML.04.01_C0040_01",$A:$I,9,0),"")&amp;IF(VLOOKUP("AMLA_VR_AML.04.01_C0040_02",$A:$I,9,0)&lt;&gt;"OK",CHAR(10)&amp;VLOOKUP("AMLA_VR_AML.04.01_C0040_02",$A:$I,9,0),""))=0,"OK",MID(IF(VLOOKUP("AMLA_VR_AML.04.01_C0040_01",$A:$I,9,0)&lt;&gt;"OK",CHAR(10)&amp;VLOOKUP("AMLA_VR_AML.04.01_C0040_01",$A:$I,9,0),"")&amp;IF(VLOOKUP("AMLA_VR_AML.04.01_C0040_02",$A:$I,9,0)&lt;&gt;"OK",CHAR(10)&amp;VLOOKUP("AMLA_VR_AML.04.01_C0040_02",$A:$I,9,0),""),2,3000))</f>
        <v>OK</v>
      </c>
      <c r="K216" s="157" t="s">
        <v>1775</v>
      </c>
    </row>
    <row r="217" spans="1:11">
      <c r="A217" s="159" t="str">
        <f>"AMLA_VR_" &amp; B217 &amp; "_" &amp; C217 &amp; "_" &amp; TEXT(COUNTIFS($B$2:B217, B217, $C$2:C217, C217), "00")</f>
        <v>AMLA_VR_AML.04.01_C0050_01</v>
      </c>
      <c r="B217" s="160" t="s">
        <v>209</v>
      </c>
      <c r="C217" s="160" t="s">
        <v>85</v>
      </c>
      <c r="D217" s="160" t="s">
        <v>1553</v>
      </c>
      <c r="E217" s="160" t="str" cm="1">
        <f t="array" aca="1" ref="E217" ca="1">IF(C217="", INDIRECT("'"&amp;B217&amp;"'!B3"), INDEX(INDIRECT("'"&amp;B217&amp;"'!5:5"), COLUMN(INDIRECT("'"&amp;B217&amp;"'!"&amp;D217))))</f>
        <v>Professional Clients (MiFID)</v>
      </c>
      <c r="F217" s="160" t="s">
        <v>1772</v>
      </c>
      <c r="G217" s="160" t="s">
        <v>1773</v>
      </c>
      <c r="H217" s="161" t="s">
        <v>1822</v>
      </c>
      <c r="I217" s="160" t="str">
        <f>IF('AML.04.01'!$F$11&lt;0, $G217 &amp; ": " &amp; $H217, "OK")</f>
        <v>OK</v>
      </c>
      <c r="J217" s="160" t="str">
        <f>IF(LEN(IF(VLOOKUP("AMLA_VR_AML.04.01_C0050_01",$A:$I,9,0)&lt;&gt;"OK",CHAR(10)&amp;VLOOKUP("AMLA_VR_AML.04.01_C0050_01",$A:$I,9,0),"")&amp;IF(VLOOKUP("AMLA_VR_AML.04.01_C0050_02",$A:$I,9,0)&lt;&gt;"OK",CHAR(10)&amp;VLOOKUP("AMLA_VR_AML.04.01_C0050_02",$A:$I,9,0),""))=0,"OK",MID(IF(VLOOKUP("AMLA_VR_AML.04.01_C0050_01",$A:$I,9,0)&lt;&gt;"OK",CHAR(10)&amp;VLOOKUP("AMLA_VR_AML.04.01_C0050_01",$A:$I,9,0),"")&amp;IF(VLOOKUP("AMLA_VR_AML.04.01_C0050_02",$A:$I,9,0)&lt;&gt;"OK",CHAR(10)&amp;VLOOKUP("AMLA_VR_AML.04.01_C0050_02",$A:$I,9,0),""),2,3000))</f>
        <v>OK</v>
      </c>
      <c r="K217" s="160" t="s">
        <v>1775</v>
      </c>
    </row>
    <row r="218" spans="1:11">
      <c r="A218" s="159" t="str">
        <f>"AMLA_VR_" &amp; B218 &amp; "_" &amp; C218 &amp; "_" &amp; TEXT(COUNTIFS($B$2:B218, B218, $C$2:C218, C218), "00")</f>
        <v>AMLA_VR_AML.04.01_C0050_02</v>
      </c>
      <c r="B218" s="160" t="s">
        <v>209</v>
      </c>
      <c r="C218" s="160" t="s">
        <v>85</v>
      </c>
      <c r="D218" s="160" t="s">
        <v>1553</v>
      </c>
      <c r="E218" s="160" t="str" cm="1">
        <f t="array" aca="1" ref="E218" ca="1">IF(C218="", INDIRECT("'"&amp;B218&amp;"'!B3"), INDEX(INDIRECT("'"&amp;B218&amp;"'!5:5"), COLUMN(INDIRECT("'"&amp;B218&amp;"'!"&amp;D218))))</f>
        <v>Professional Clients (MiFID)</v>
      </c>
      <c r="F218" s="160" t="s">
        <v>1776</v>
      </c>
      <c r="G218" s="160" t="s">
        <v>1773</v>
      </c>
      <c r="H218" s="161" t="s">
        <v>1816</v>
      </c>
      <c r="I218" s="160" t="str">
        <f>IF(TRIM(SUBSTITUTE('AML.04.01'!$F$11&amp;"",CHAR(160),""))="","OK",IF(OR(NOT(ISNUMBER('AML.04.01'!$F$11)),IFERROR(INT('AML.04.01'!$F$11)&lt;&gt;'AML.04.01'!$F$11,TRUE)),$G218&amp;": "&amp;$H218,"OK"))</f>
        <v>OK</v>
      </c>
      <c r="J218" s="160" t="str">
        <f>IF(LEN(IF(VLOOKUP("AMLA_VR_AML.04.01_C0050_01",$A:$I,9,0)&lt;&gt;"OK",CHAR(10)&amp;VLOOKUP("AMLA_VR_AML.04.01_C0050_01",$A:$I,9,0),"")&amp;IF(VLOOKUP("AMLA_VR_AML.04.01_C0050_02",$A:$I,9,0)&lt;&gt;"OK",CHAR(10)&amp;VLOOKUP("AMLA_VR_AML.04.01_C0050_02",$A:$I,9,0),""))=0,"OK",MID(IF(VLOOKUP("AMLA_VR_AML.04.01_C0050_01",$A:$I,9,0)&lt;&gt;"OK",CHAR(10)&amp;VLOOKUP("AMLA_VR_AML.04.01_C0050_01",$A:$I,9,0),"")&amp;IF(VLOOKUP("AMLA_VR_AML.04.01_C0050_02",$A:$I,9,0)&lt;&gt;"OK",CHAR(10)&amp;VLOOKUP("AMLA_VR_AML.04.01_C0050_02",$A:$I,9,0),""),2,3000))</f>
        <v>OK</v>
      </c>
      <c r="K218" s="160" t="s">
        <v>1775</v>
      </c>
    </row>
    <row r="219" spans="1:11">
      <c r="A219" s="159" t="str">
        <f>"AMLA_VR_" &amp; B219 &amp; "_" &amp; C219 &amp; "_" &amp; TEXT(COUNTIFS($B$2:B219, B219, $C$2:C219, C219), "00")</f>
        <v>AMLA_VR_AML.04.01_C0060_01</v>
      </c>
      <c r="B219" s="157" t="s">
        <v>209</v>
      </c>
      <c r="C219" s="157" t="s">
        <v>86</v>
      </c>
      <c r="D219" s="157" t="s">
        <v>1554</v>
      </c>
      <c r="E219" s="160" t="str" cm="1">
        <f t="array" aca="1" ref="E219" ca="1">IF(C219="", INDIRECT("'"&amp;B219&amp;"'!B3"), INDEX(INDIRECT("'"&amp;B219&amp;"'!5:5"), COLUMN(INDIRECT("'"&amp;B219&amp;"'!"&amp;D219))))</f>
        <v>Indirect Custody Assets (%)</v>
      </c>
      <c r="F219" s="157" t="s">
        <v>1772</v>
      </c>
      <c r="G219" s="157" t="s">
        <v>1773</v>
      </c>
      <c r="H219" s="158" t="s">
        <v>1823</v>
      </c>
      <c r="I219" s="157" t="str">
        <f>IF('AML.04.01'!$G$11&lt;0, $G219 &amp; ": " &amp; $H219, "OK")</f>
        <v>OK</v>
      </c>
      <c r="J219" s="157" t="str">
        <f>IF(LEN(IF(VLOOKUP("AMLA_VR_AML.04.01_C0060_01",$A:$I,9,0)&lt;&gt;"OK",CHAR(10)&amp;VLOOKUP("AMLA_VR_AML.04.01_C0060_01",$A:$I,9,0),"")&amp;IF(VLOOKUP("AMLA_VR_AML.04.01_C0060_02",$A:$I,9,0)&lt;&gt;"OK",CHAR(10)&amp;VLOOKUP("AMLA_VR_AML.04.01_C0060_02",$A:$I,9,0),"")&amp;IF(VLOOKUP("AMLA_VR_AML.04.01_C0060_03",$A:$I,9,0)&lt;&gt;"OK",CHAR(10)&amp;VLOOKUP("AMLA_VR_AML.04.01_C0060_03",$A:$I,9,0),""))=0,"OK",MID(IF(VLOOKUP("AMLA_VR_AML.04.01_C0060_01",$A:$I,9,0)&lt;&gt;"OK",CHAR(10)&amp;VLOOKUP("AMLA_VR_AML.04.01_C0060_01",$A:$I,9,0),"")&amp;IF(VLOOKUP("AMLA_VR_AML.04.01_C0060_02",$A:$I,9,0)&lt;&gt;"OK",CHAR(10)&amp;VLOOKUP("AMLA_VR_AML.04.01_C0060_02",$A:$I,9,0),"")&amp;IF(VLOOKUP("AMLA_VR_AML.04.01_C0060_03",$A:$I,9,0)&lt;&gt;"OK",CHAR(10)&amp;VLOOKUP("AMLA_VR_AML.04.01_C0060_03",$A:$I,9,0),""),2,3000))</f>
        <v>OK</v>
      </c>
      <c r="K219" s="157" t="s">
        <v>1775</v>
      </c>
    </row>
    <row r="220" spans="1:11">
      <c r="A220" s="159" t="str">
        <f>"AMLA_VR_" &amp; B220 &amp; "_" &amp; C220 &amp; "_" &amp; TEXT(COUNTIFS($B$2:B220, B220, $C$2:C220, C220), "00")</f>
        <v>AMLA_VR_AML.04.01_C0060_02</v>
      </c>
      <c r="B220" s="160" t="s">
        <v>209</v>
      </c>
      <c r="C220" s="160" t="s">
        <v>86</v>
      </c>
      <c r="D220" s="160" t="s">
        <v>1554</v>
      </c>
      <c r="E220" s="160" t="str" cm="1">
        <f t="array" aca="1" ref="E220" ca="1">IF(C220="", INDIRECT("'"&amp;B220&amp;"'!B3"), INDEX(INDIRECT("'"&amp;B220&amp;"'!5:5"), COLUMN(INDIRECT("'"&amp;B220&amp;"'!"&amp;D220))))</f>
        <v>Indirect Custody Assets (%)</v>
      </c>
      <c r="F220" s="160" t="s">
        <v>1772</v>
      </c>
      <c r="G220" s="160" t="s">
        <v>1773</v>
      </c>
      <c r="H220" s="161" t="s">
        <v>1856</v>
      </c>
      <c r="I220" s="160" t="str">
        <f>IF('AML.04.01'!$G$11&gt;1, $G220 &amp; ": " &amp; $H220, "OK")</f>
        <v>OK</v>
      </c>
      <c r="J220" s="160" t="str">
        <f>IF(LEN(IF(VLOOKUP("AMLA_VR_AML.04.01_C0060_01",$A:$I,9,0)&lt;&gt;"OK",CHAR(10)&amp;VLOOKUP("AMLA_VR_AML.04.01_C0060_01",$A:$I,9,0),"")&amp;IF(VLOOKUP("AMLA_VR_AML.04.01_C0060_02",$A:$I,9,0)&lt;&gt;"OK",CHAR(10)&amp;VLOOKUP("AMLA_VR_AML.04.01_C0060_02",$A:$I,9,0),"")&amp;IF(VLOOKUP("AMLA_VR_AML.04.01_C0060_03",$A:$I,9,0)&lt;&gt;"OK",CHAR(10)&amp;VLOOKUP("AMLA_VR_AML.04.01_C0060_03",$A:$I,9,0),""))=0,"OK",MID(IF(VLOOKUP("AMLA_VR_AML.04.01_C0060_01",$A:$I,9,0)&lt;&gt;"OK",CHAR(10)&amp;VLOOKUP("AMLA_VR_AML.04.01_C0060_01",$A:$I,9,0),"")&amp;IF(VLOOKUP("AMLA_VR_AML.04.01_C0060_02",$A:$I,9,0)&lt;&gt;"OK",CHAR(10)&amp;VLOOKUP("AMLA_VR_AML.04.01_C0060_02",$A:$I,9,0),"")&amp;IF(VLOOKUP("AMLA_VR_AML.04.01_C0060_03",$A:$I,9,0)&lt;&gt;"OK",CHAR(10)&amp;VLOOKUP("AMLA_VR_AML.04.01_C0060_03",$A:$I,9,0),""),2,3000))</f>
        <v>OK</v>
      </c>
      <c r="K220" s="160" t="s">
        <v>1775</v>
      </c>
    </row>
    <row r="221" spans="1:11">
      <c r="A221" s="159" t="str">
        <f>"AMLA_VR_" &amp; B221 &amp; "_" &amp; C221 &amp; "_" &amp; TEXT(COUNTIFS($B$2:B221, B221, $C$2:C221, C221), "00")</f>
        <v>AMLA_VR_AML.04.01_C0060_03</v>
      </c>
      <c r="B221" s="157" t="s">
        <v>209</v>
      </c>
      <c r="C221" s="157" t="s">
        <v>86</v>
      </c>
      <c r="D221" s="157" t="s">
        <v>1554</v>
      </c>
      <c r="E221" s="160" t="str" cm="1">
        <f t="array" aca="1" ref="E221" ca="1">IF(C221="", INDIRECT("'"&amp;B221&amp;"'!B3"), INDEX(INDIRECT("'"&amp;B221&amp;"'!5:5"), COLUMN(INDIRECT("'"&amp;B221&amp;"'!"&amp;D221))))</f>
        <v>Indirect Custody Assets (%)</v>
      </c>
      <c r="F221" s="157" t="s">
        <v>1776</v>
      </c>
      <c r="G221" s="157" t="s">
        <v>1773</v>
      </c>
      <c r="H221" s="158" t="s">
        <v>1851</v>
      </c>
      <c r="I221" s="157" t="str">
        <f>IF(TRIM(SUBSTITUTE('AML.04.01'!$G$11&amp;"",CHAR(160),""))="","OK",IF(OR(NOT(ISNUMBER('AML.04.01'!$G$11)),'AML.04.01'!$G$11&lt;0,'AML.04.01'!$G$11&gt;1),$G221&amp;": "&amp;$H221,"OK"))</f>
        <v>OK</v>
      </c>
      <c r="J221" s="157" t="str">
        <f>IF(LEN(IF(VLOOKUP("AMLA_VR_AML.04.01_C0060_01",$A:$I,9,0)&lt;&gt;"OK",CHAR(10)&amp;VLOOKUP("AMLA_VR_AML.04.01_C0060_01",$A:$I,9,0),"")&amp;IF(VLOOKUP("AMLA_VR_AML.04.01_C0060_02",$A:$I,9,0)&lt;&gt;"OK",CHAR(10)&amp;VLOOKUP("AMLA_VR_AML.04.01_C0060_02",$A:$I,9,0),"")&amp;IF(VLOOKUP("AMLA_VR_AML.04.01_C0060_03",$A:$I,9,0)&lt;&gt;"OK",CHAR(10)&amp;VLOOKUP("AMLA_VR_AML.04.01_C0060_03",$A:$I,9,0),""))=0,"OK",MID(IF(VLOOKUP("AMLA_VR_AML.04.01_C0060_01",$A:$I,9,0)&lt;&gt;"OK",CHAR(10)&amp;VLOOKUP("AMLA_VR_AML.04.01_C0060_01",$A:$I,9,0),"")&amp;IF(VLOOKUP("AMLA_VR_AML.04.01_C0060_02",$A:$I,9,0)&lt;&gt;"OK",CHAR(10)&amp;VLOOKUP("AMLA_VR_AML.04.01_C0060_02",$A:$I,9,0),"")&amp;IF(VLOOKUP("AMLA_VR_AML.04.01_C0060_03",$A:$I,9,0)&lt;&gt;"OK",CHAR(10)&amp;VLOOKUP("AMLA_VR_AML.04.01_C0060_03",$A:$I,9,0),""),2,3000))</f>
        <v>OK</v>
      </c>
      <c r="K221" s="157" t="s">
        <v>1775</v>
      </c>
    </row>
    <row r="222" spans="1:11">
      <c r="A222" s="159" t="str">
        <f>"AMLA_VR_" &amp; B222 &amp; "_" &amp; C222 &amp; "_" &amp; TEXT(COUNTIFS($B$2:B222, B222, $C$2:C222, C222), "00")</f>
        <v>AMLA_VR_AML.04.01_C0070_01</v>
      </c>
      <c r="B222" s="157" t="s">
        <v>209</v>
      </c>
      <c r="C222" s="157" t="s">
        <v>87</v>
      </c>
      <c r="D222" s="157" t="s">
        <v>1555</v>
      </c>
      <c r="E222" s="160" t="str" cm="1">
        <f t="array" aca="1" ref="E222" ca="1">IF(C222="", INDIRECT("'"&amp;B222&amp;"'!B3"), INDEX(INDIRECT("'"&amp;B222&amp;"'!5:5"), COLUMN(INDIRECT("'"&amp;B222&amp;"'!"&amp;D222))))</f>
        <v>Non-EEA AML/CFT Regulated Customers</v>
      </c>
      <c r="F222" s="157" t="s">
        <v>1772</v>
      </c>
      <c r="G222" s="157" t="s">
        <v>1773</v>
      </c>
      <c r="H222" s="158" t="s">
        <v>1824</v>
      </c>
      <c r="I222" s="157" t="str">
        <f>IF('AML.04.01'!$H$11&lt;0, $G222 &amp; ": " &amp; $H222, "OK")</f>
        <v>OK</v>
      </c>
      <c r="J222" s="157" t="str">
        <f>IF(LEN(IF(VLOOKUP("AMLA_VR_AML.04.01_C0070_01",$A:$I,9,0)&lt;&gt;"OK",CHAR(10)&amp;VLOOKUP("AMLA_VR_AML.04.01_C0070_01",$A:$I,9,0),"")&amp;IF(VLOOKUP("AMLA_VR_AML.04.01_C0070_02",$A:$I,9,0)&lt;&gt;"OK",CHAR(10)&amp;VLOOKUP("AMLA_VR_AML.04.01_C0070_02",$A:$I,9,0),""))=0,"OK",MID(IF(VLOOKUP("AMLA_VR_AML.04.01_C0070_01",$A:$I,9,0)&lt;&gt;"OK",CHAR(10)&amp;VLOOKUP("AMLA_VR_AML.04.01_C0070_01",$A:$I,9,0),"")&amp;IF(VLOOKUP("AMLA_VR_AML.04.01_C0070_02",$A:$I,9,0)&lt;&gt;"OK",CHAR(10)&amp;VLOOKUP("AMLA_VR_AML.04.01_C0070_02",$A:$I,9,0),""),2,3000))</f>
        <v>OK</v>
      </c>
      <c r="K222" s="157" t="s">
        <v>1775</v>
      </c>
    </row>
    <row r="223" spans="1:11">
      <c r="A223" s="159" t="str">
        <f>"AMLA_VR_" &amp; B223 &amp; "_" &amp; C223 &amp; "_" &amp; TEXT(COUNTIFS($B$2:B223, B223, $C$2:C223, C223), "00")</f>
        <v>AMLA_VR_AML.04.01_C0070_02</v>
      </c>
      <c r="B223" s="160" t="s">
        <v>209</v>
      </c>
      <c r="C223" s="160" t="s">
        <v>87</v>
      </c>
      <c r="D223" s="160" t="s">
        <v>1555</v>
      </c>
      <c r="E223" s="160" t="str" cm="1">
        <f t="array" aca="1" ref="E223" ca="1">IF(C223="", INDIRECT("'"&amp;B223&amp;"'!B3"), INDEX(INDIRECT("'"&amp;B223&amp;"'!5:5"), COLUMN(INDIRECT("'"&amp;B223&amp;"'!"&amp;D223))))</f>
        <v>Non-EEA AML/CFT Regulated Customers</v>
      </c>
      <c r="F223" s="160" t="s">
        <v>1776</v>
      </c>
      <c r="G223" s="160" t="s">
        <v>1773</v>
      </c>
      <c r="H223" s="161" t="s">
        <v>1816</v>
      </c>
      <c r="I223" s="160" t="str">
        <f>IF(TRIM(SUBSTITUTE('AML.04.01'!$H$11&amp;"",CHAR(160),""))="","OK",IF(OR(NOT(ISNUMBER('AML.04.01'!$H$11)),IFERROR(INT('AML.04.01'!$H$11)&lt;&gt;'AML.04.01'!$H$11,TRUE)),$G223&amp;": "&amp;$H223,"OK"))</f>
        <v>OK</v>
      </c>
      <c r="J223" s="160" t="str">
        <f>IF(LEN(IF(VLOOKUP("AMLA_VR_AML.04.01_C0070_01",$A:$I,9,0)&lt;&gt;"OK",CHAR(10)&amp;VLOOKUP("AMLA_VR_AML.04.01_C0070_01",$A:$I,9,0),"")&amp;IF(VLOOKUP("AMLA_VR_AML.04.01_C0070_02",$A:$I,9,0)&lt;&gt;"OK",CHAR(10)&amp;VLOOKUP("AMLA_VR_AML.04.01_C0070_02",$A:$I,9,0),""))=0,"OK",MID(IF(VLOOKUP("AMLA_VR_AML.04.01_C0070_01",$A:$I,9,0)&lt;&gt;"OK",CHAR(10)&amp;VLOOKUP("AMLA_VR_AML.04.01_C0070_01",$A:$I,9,0),"")&amp;IF(VLOOKUP("AMLA_VR_AML.04.01_C0070_02",$A:$I,9,0)&lt;&gt;"OK",CHAR(10)&amp;VLOOKUP("AMLA_VR_AML.04.01_C0070_02",$A:$I,9,0),""),2,3000))</f>
        <v>OK</v>
      </c>
      <c r="K223" s="160" t="s">
        <v>1775</v>
      </c>
    </row>
    <row r="224" spans="1:11">
      <c r="A224" s="159" t="str">
        <f>"AMLA_VR_" &amp; B224 &amp; "_" &amp; C224 &amp; "_" &amp; TEXT(COUNTIFS($B$2:B224, B224, $C$2:C224, C224), "00")</f>
        <v>AMLA_VR_AML.04.01_C0080_01</v>
      </c>
      <c r="B224" s="160" t="s">
        <v>209</v>
      </c>
      <c r="C224" s="160" t="s">
        <v>88</v>
      </c>
      <c r="D224" s="160" t="s">
        <v>1556</v>
      </c>
      <c r="E224" s="160" t="str" cm="1">
        <f t="array" aca="1" ref="E224" ca="1">IF(C224="", INDIRECT("'"&amp;B224&amp;"'!B3"), INDEX(INDIRECT("'"&amp;B224&amp;"'!5:5"), COLUMN(INDIRECT("'"&amp;B224&amp;"'!"&amp;D224))))</f>
        <v>Retail Clients (MiFID)</v>
      </c>
      <c r="F224" s="160" t="s">
        <v>1772</v>
      </c>
      <c r="G224" s="160" t="s">
        <v>1773</v>
      </c>
      <c r="H224" s="161" t="s">
        <v>1825</v>
      </c>
      <c r="I224" s="160" t="str">
        <f>IF('AML.04.01'!$I$11&lt;0, $G224 &amp; ": " &amp; $H224, "OK")</f>
        <v>OK</v>
      </c>
      <c r="J224" s="160" t="str">
        <f>IF(LEN(IF(VLOOKUP("AMLA_VR_AML.04.01_C0080_01",$A:$I,9,0)&lt;&gt;"OK",CHAR(10)&amp;VLOOKUP("AMLA_VR_AML.04.01_C0080_01",$A:$I,9,0),"")&amp;IF(VLOOKUP("AMLA_VR_AML.04.01_C0080_02",$A:$I,9,0)&lt;&gt;"OK",CHAR(10)&amp;VLOOKUP("AMLA_VR_AML.04.01_C0080_02",$A:$I,9,0),""))=0,"OK",MID(IF(VLOOKUP("AMLA_VR_AML.04.01_C0080_01",$A:$I,9,0)&lt;&gt;"OK",CHAR(10)&amp;VLOOKUP("AMLA_VR_AML.04.01_C0080_01",$A:$I,9,0),"")&amp;IF(VLOOKUP("AMLA_VR_AML.04.01_C0080_02",$A:$I,9,0)&lt;&gt;"OK",CHAR(10)&amp;VLOOKUP("AMLA_VR_AML.04.01_C0080_02",$A:$I,9,0),""),2,3000))</f>
        <v>OK</v>
      </c>
      <c r="K224" s="160" t="s">
        <v>1775</v>
      </c>
    </row>
    <row r="225" spans="1:11">
      <c r="A225" s="159" t="str">
        <f>"AMLA_VR_" &amp; B225 &amp; "_" &amp; C225 &amp; "_" &amp; TEXT(COUNTIFS($B$2:B225, B225, $C$2:C225, C225), "00")</f>
        <v>AMLA_VR_AML.04.01_C0080_02</v>
      </c>
      <c r="B225" s="157" t="s">
        <v>209</v>
      </c>
      <c r="C225" s="157" t="s">
        <v>88</v>
      </c>
      <c r="D225" s="157" t="s">
        <v>1556</v>
      </c>
      <c r="E225" s="160" t="str" cm="1">
        <f t="array" aca="1" ref="E225" ca="1">IF(C225="", INDIRECT("'"&amp;B225&amp;"'!B3"), INDEX(INDIRECT("'"&amp;B225&amp;"'!5:5"), COLUMN(INDIRECT("'"&amp;B225&amp;"'!"&amp;D225))))</f>
        <v>Retail Clients (MiFID)</v>
      </c>
      <c r="F225" s="157" t="s">
        <v>1776</v>
      </c>
      <c r="G225" s="157" t="s">
        <v>1773</v>
      </c>
      <c r="H225" s="158" t="s">
        <v>1816</v>
      </c>
      <c r="I225" s="157" t="str">
        <f>IF(TRIM(SUBSTITUTE('AML.04.01'!$I$11&amp;"",CHAR(160),""))="","OK",IF(OR(NOT(ISNUMBER('AML.04.01'!$I$11)),IFERROR(INT('AML.04.01'!$I$11)&lt;&gt;'AML.04.01'!$I$11,TRUE)),$G225&amp;": "&amp;$H225,"OK"))</f>
        <v>OK</v>
      </c>
      <c r="J225" s="157" t="str">
        <f>IF(LEN(IF(VLOOKUP("AMLA_VR_AML.04.01_C0080_01",$A:$I,9,0)&lt;&gt;"OK",CHAR(10)&amp;VLOOKUP("AMLA_VR_AML.04.01_C0080_01",$A:$I,9,0),"")&amp;IF(VLOOKUP("AMLA_VR_AML.04.01_C0080_02",$A:$I,9,0)&lt;&gt;"OK",CHAR(10)&amp;VLOOKUP("AMLA_VR_AML.04.01_C0080_02",$A:$I,9,0),""))=0,"OK",MID(IF(VLOOKUP("AMLA_VR_AML.04.01_C0080_01",$A:$I,9,0)&lt;&gt;"OK",CHAR(10)&amp;VLOOKUP("AMLA_VR_AML.04.01_C0080_01",$A:$I,9,0),"")&amp;IF(VLOOKUP("AMLA_VR_AML.04.01_C0080_02",$A:$I,9,0)&lt;&gt;"OK",CHAR(10)&amp;VLOOKUP("AMLA_VR_AML.04.01_C0080_02",$A:$I,9,0),""),2,3000))</f>
        <v>OK</v>
      </c>
      <c r="K225" s="157" t="s">
        <v>1775</v>
      </c>
    </row>
    <row r="226" spans="1:11">
      <c r="A226" s="159" t="str">
        <f>"AMLA_VR_" &amp; B226 &amp; "_" &amp; C226 &amp; "_" &amp; TEXT(COUNTIFS($B$2:B226, B226, $C$2:C226, C226), "00")</f>
        <v>AMLA_VR_AML.04.01_C0090_01</v>
      </c>
      <c r="B226" s="157" t="s">
        <v>209</v>
      </c>
      <c r="C226" s="157" t="s">
        <v>89</v>
      </c>
      <c r="D226" s="157" t="s">
        <v>1557</v>
      </c>
      <c r="E226" s="160" t="str" cm="1">
        <f t="array" aca="1" ref="E226" ca="1">IF(C226="", INDIRECT("'"&amp;B226&amp;"'!B3"), INDEX(INDIRECT("'"&amp;B226&amp;"'!5:5"), COLUMN(INDIRECT("'"&amp;B226&amp;"'!"&amp;D226))))</f>
        <v>Professional Clients (MiFID)</v>
      </c>
      <c r="F226" s="157" t="s">
        <v>1772</v>
      </c>
      <c r="G226" s="157" t="s">
        <v>1773</v>
      </c>
      <c r="H226" s="158" t="s">
        <v>1826</v>
      </c>
      <c r="I226" s="157" t="str">
        <f>IF('AML.04.01'!$J$11&lt;0, $G226 &amp; ": " &amp; $H226, "OK")</f>
        <v>OK</v>
      </c>
      <c r="J226" s="157" t="str">
        <f>IF(LEN(IF(VLOOKUP("AMLA_VR_AML.04.01_C0090_01",$A:$I,9,0)&lt;&gt;"OK",CHAR(10)&amp;VLOOKUP("AMLA_VR_AML.04.01_C0090_01",$A:$I,9,0),"")&amp;IF(VLOOKUP("AMLA_VR_AML.04.01_C0090_02",$A:$I,9,0)&lt;&gt;"OK",CHAR(10)&amp;VLOOKUP("AMLA_VR_AML.04.01_C0090_02",$A:$I,9,0),""))=0,"OK",MID(IF(VLOOKUP("AMLA_VR_AML.04.01_C0090_01",$A:$I,9,0)&lt;&gt;"OK",CHAR(10)&amp;VLOOKUP("AMLA_VR_AML.04.01_C0090_01",$A:$I,9,0),"")&amp;IF(VLOOKUP("AMLA_VR_AML.04.01_C0090_02",$A:$I,9,0)&lt;&gt;"OK",CHAR(10)&amp;VLOOKUP("AMLA_VR_AML.04.01_C0090_02",$A:$I,9,0),""),2,3000))</f>
        <v>OK</v>
      </c>
      <c r="K226" s="157" t="s">
        <v>1775</v>
      </c>
    </row>
    <row r="227" spans="1:11">
      <c r="A227" s="159" t="str">
        <f>"AMLA_VR_" &amp; B227 &amp; "_" &amp; C227 &amp; "_" &amp; TEXT(COUNTIFS($B$2:B227, B227, $C$2:C227, C227), "00")</f>
        <v>AMLA_VR_AML.04.01_C0090_02</v>
      </c>
      <c r="B227" s="160" t="s">
        <v>209</v>
      </c>
      <c r="C227" s="160" t="s">
        <v>89</v>
      </c>
      <c r="D227" s="160" t="s">
        <v>1557</v>
      </c>
      <c r="E227" s="160" t="str" cm="1">
        <f t="array" aca="1" ref="E227" ca="1">IF(C227="", INDIRECT("'"&amp;B227&amp;"'!B3"), INDEX(INDIRECT("'"&amp;B227&amp;"'!5:5"), COLUMN(INDIRECT("'"&amp;B227&amp;"'!"&amp;D227))))</f>
        <v>Professional Clients (MiFID)</v>
      </c>
      <c r="F227" s="160" t="s">
        <v>1776</v>
      </c>
      <c r="G227" s="160" t="s">
        <v>1773</v>
      </c>
      <c r="H227" s="161" t="s">
        <v>1816</v>
      </c>
      <c r="I227" s="160" t="str">
        <f>IF(TRIM(SUBSTITUTE('AML.04.01'!$J$11&amp;"",CHAR(160),""))="","OK",IF(OR(NOT(ISNUMBER('AML.04.01'!$J$11)),IFERROR(INT('AML.04.01'!$J$11)&lt;&gt;'AML.04.01'!$J$11,TRUE)),$G227&amp;": "&amp;$H227,"OK"))</f>
        <v>OK</v>
      </c>
      <c r="J227" s="160" t="str">
        <f>IF(LEN(IF(VLOOKUP("AMLA_VR_AML.04.01_C0090_01",$A:$I,9,0)&lt;&gt;"OK",CHAR(10)&amp;VLOOKUP("AMLA_VR_AML.04.01_C0090_01",$A:$I,9,0),"")&amp;IF(VLOOKUP("AMLA_VR_AML.04.01_C0090_02",$A:$I,9,0)&lt;&gt;"OK",CHAR(10)&amp;VLOOKUP("AMLA_VR_AML.04.01_C0090_02",$A:$I,9,0),""))=0,"OK",MID(IF(VLOOKUP("AMLA_VR_AML.04.01_C0090_01",$A:$I,9,0)&lt;&gt;"OK",CHAR(10)&amp;VLOOKUP("AMLA_VR_AML.04.01_C0090_01",$A:$I,9,0),"")&amp;IF(VLOOKUP("AMLA_VR_AML.04.01_C0090_02",$A:$I,9,0)&lt;&gt;"OK",CHAR(10)&amp;VLOOKUP("AMLA_VR_AML.04.01_C0090_02",$A:$I,9,0),""),2,3000))</f>
        <v>OK</v>
      </c>
      <c r="K227" s="160" t="s">
        <v>1775</v>
      </c>
    </row>
    <row r="228" spans="1:11">
      <c r="A228" s="159" t="str">
        <f>"AMLA_VR_" &amp; B228 &amp; "_" &amp; C228 &amp; "_" &amp; TEXT(COUNTIFS($B$2:B228, B228, $C$2:C228, C228), "00")</f>
        <v>AMLA_VR_AML.04.01_C0100_01</v>
      </c>
      <c r="B228" s="160" t="s">
        <v>209</v>
      </c>
      <c r="C228" s="160" t="s">
        <v>90</v>
      </c>
      <c r="D228" s="160" t="s">
        <v>1558</v>
      </c>
      <c r="E228" s="160" t="str" cm="1">
        <f t="array" aca="1" ref="E228" ca="1">IF(C228="", INDIRECT("'"&amp;B228&amp;"'!B3"), INDEX(INDIRECT("'"&amp;B228&amp;"'!5:5"), COLUMN(INDIRECT("'"&amp;B228&amp;"'!"&amp;D228))))</f>
        <v>Total assets under management</v>
      </c>
      <c r="F228" s="160" t="s">
        <v>1772</v>
      </c>
      <c r="G228" s="160" t="s">
        <v>1773</v>
      </c>
      <c r="H228" s="161" t="s">
        <v>1827</v>
      </c>
      <c r="I228" s="160" t="str">
        <f>IF('AML.04.01'!$K$11&lt;0, $G228 &amp; ": " &amp; $H228, "OK")</f>
        <v>OK</v>
      </c>
      <c r="J228" s="160" t="str">
        <f>IF(LEN(IF(VLOOKUP("AMLA_VR_AML.04.01_C0100_01",$A:$I,9,0)&lt;&gt;"OK",CHAR(10)&amp;VLOOKUP("AMLA_VR_AML.04.01_C0100_01",$A:$I,9,0),"")&amp;IF(VLOOKUP("AMLA_VR_AML.04.01_C0100_02",$A:$I,9,0)&lt;&gt;"OK",CHAR(10)&amp;VLOOKUP("AMLA_VR_AML.04.01_C0100_02",$A:$I,9,0),""))=0,"OK",MID(IF(VLOOKUP("AMLA_VR_AML.04.01_C0100_01",$A:$I,9,0)&lt;&gt;"OK",CHAR(10)&amp;VLOOKUP("AMLA_VR_AML.04.01_C0100_01",$A:$I,9,0),"")&amp;IF(VLOOKUP("AMLA_VR_AML.04.01_C0100_02",$A:$I,9,0)&lt;&gt;"OK",CHAR(10)&amp;VLOOKUP("AMLA_VR_AML.04.01_C0100_02",$A:$I,9,0),""),2,3000))</f>
        <v>OK</v>
      </c>
      <c r="K228" s="160" t="s">
        <v>1775</v>
      </c>
    </row>
    <row r="229" spans="1:11">
      <c r="A229" s="159" t="str">
        <f>"AMLA_VR_" &amp; B229 &amp; "_" &amp; C229 &amp; "_" &amp; TEXT(COUNTIFS($B$2:B229, B229, $C$2:C229, C229), "00")</f>
        <v>AMLA_VR_AML.04.01_C0100_02</v>
      </c>
      <c r="B229" s="157" t="s">
        <v>209</v>
      </c>
      <c r="C229" s="157" t="s">
        <v>90</v>
      </c>
      <c r="D229" s="157" t="s">
        <v>1558</v>
      </c>
      <c r="E229" s="160" t="str" cm="1">
        <f t="array" aca="1" ref="E229" ca="1">IF(C229="", INDIRECT("'"&amp;B229&amp;"'!B3"), INDEX(INDIRECT("'"&amp;B229&amp;"'!5:5"), COLUMN(INDIRECT("'"&amp;B229&amp;"'!"&amp;D229))))</f>
        <v>Total assets under management</v>
      </c>
      <c r="F229" s="157" t="s">
        <v>1776</v>
      </c>
      <c r="G229" s="157" t="s">
        <v>1773</v>
      </c>
      <c r="H229" s="158" t="s">
        <v>1837</v>
      </c>
      <c r="I229" s="157" t="str">
        <f>IF(TRIM(SUBSTITUTE('AML.04.01'!$K$11&amp;"",CHAR(160),""))="","OK",IF(NOT(ISNUMBER('AML.04.01'!$K$11)),$G229&amp;": "&amp;$H229,"OK"))</f>
        <v>OK</v>
      </c>
      <c r="J229" s="157" t="str">
        <f>IF(LEN(IF(VLOOKUP("AMLA_VR_AML.04.01_C0100_01",$A:$I,9,0)&lt;&gt;"OK",CHAR(10)&amp;VLOOKUP("AMLA_VR_AML.04.01_C0100_01",$A:$I,9,0),"")&amp;IF(VLOOKUP("AMLA_VR_AML.04.01_C0100_02",$A:$I,9,0)&lt;&gt;"OK",CHAR(10)&amp;VLOOKUP("AMLA_VR_AML.04.01_C0100_02",$A:$I,9,0),""))=0,"OK",MID(IF(VLOOKUP("AMLA_VR_AML.04.01_C0100_01",$A:$I,9,0)&lt;&gt;"OK",CHAR(10)&amp;VLOOKUP("AMLA_VR_AML.04.01_C0100_01",$A:$I,9,0),"")&amp;IF(VLOOKUP("AMLA_VR_AML.04.01_C0100_02",$A:$I,9,0)&lt;&gt;"OK",CHAR(10)&amp;VLOOKUP("AMLA_VR_AML.04.01_C0100_02",$A:$I,9,0),""),2,3000))</f>
        <v>OK</v>
      </c>
      <c r="K229" s="157" t="s">
        <v>1775</v>
      </c>
    </row>
    <row r="230" spans="1:11">
      <c r="A230" s="159" t="str">
        <f>"AMLA_VR_" &amp; B230 &amp; "_" &amp; C230 &amp; "_" &amp; TEXT(COUNTIFS($B$2:B230, B230, $C$2:C230, C230), "00")</f>
        <v>AMLA_VR_AML.04.01_C0110_01</v>
      </c>
      <c r="B230" s="157" t="s">
        <v>209</v>
      </c>
      <c r="C230" s="157" t="s">
        <v>91</v>
      </c>
      <c r="D230" s="157" t="s">
        <v>1559</v>
      </c>
      <c r="E230" s="160" t="str" cm="1">
        <f t="array" aca="1" ref="E230" ca="1">IF(C230="", INDIRECT("'"&amp;B230&amp;"'!B3"), INDEX(INDIRECT("'"&amp;B230&amp;"'!5:5"), COLUMN(INDIRECT("'"&amp;B230&amp;"'!"&amp;D230))))</f>
        <v>Customers with Assets &gt;= EUR 5M</v>
      </c>
      <c r="F230" s="157" t="s">
        <v>1772</v>
      </c>
      <c r="G230" s="157" t="s">
        <v>1773</v>
      </c>
      <c r="H230" s="158" t="s">
        <v>1828</v>
      </c>
      <c r="I230" s="157" t="str">
        <f>IF('AML.04.01'!$L$11&lt;0, $G230 &amp; ": " &amp; $H230, "OK")</f>
        <v>OK</v>
      </c>
      <c r="J230" s="157" t="str">
        <f>IF(LEN(IF(VLOOKUP("AMLA_VR_AML.04.01_C0110_01",$A:$I,9,0)&lt;&gt;"OK",CHAR(10)&amp;VLOOKUP("AMLA_VR_AML.04.01_C0110_01",$A:$I,9,0),"")&amp;IF(VLOOKUP("AMLA_VR_AML.04.01_C0110_02",$A:$I,9,0)&lt;&gt;"OK",CHAR(10)&amp;VLOOKUP("AMLA_VR_AML.04.01_C0110_02",$A:$I,9,0),""))=0,"OK",MID(IF(VLOOKUP("AMLA_VR_AML.04.01_C0110_01",$A:$I,9,0)&lt;&gt;"OK",CHAR(10)&amp;VLOOKUP("AMLA_VR_AML.04.01_C0110_01",$A:$I,9,0),"")&amp;IF(VLOOKUP("AMLA_VR_AML.04.01_C0110_02",$A:$I,9,0)&lt;&gt;"OK",CHAR(10)&amp;VLOOKUP("AMLA_VR_AML.04.01_C0110_02",$A:$I,9,0),""),2,3000))</f>
        <v>OK</v>
      </c>
      <c r="K230" s="157" t="s">
        <v>1775</v>
      </c>
    </row>
    <row r="231" spans="1:11">
      <c r="A231" s="159" t="str">
        <f>"AMLA_VR_" &amp; B231 &amp; "_" &amp; C231 &amp; "_" &amp; TEXT(COUNTIFS($B$2:B231, B231, $C$2:C231, C231), "00")</f>
        <v>AMLA_VR_AML.04.01_C0110_02</v>
      </c>
      <c r="B231" s="160" t="s">
        <v>209</v>
      </c>
      <c r="C231" s="160" t="s">
        <v>91</v>
      </c>
      <c r="D231" s="160" t="s">
        <v>1559</v>
      </c>
      <c r="E231" s="160" t="str" cm="1">
        <f t="array" aca="1" ref="E231" ca="1">IF(C231="", INDIRECT("'"&amp;B231&amp;"'!B3"), INDEX(INDIRECT("'"&amp;B231&amp;"'!5:5"), COLUMN(INDIRECT("'"&amp;B231&amp;"'!"&amp;D231))))</f>
        <v>Customers with Assets &gt;= EUR 5M</v>
      </c>
      <c r="F231" s="160" t="s">
        <v>1776</v>
      </c>
      <c r="G231" s="160" t="s">
        <v>1773</v>
      </c>
      <c r="H231" s="161" t="s">
        <v>1816</v>
      </c>
      <c r="I231" s="160" t="str">
        <f>IF(TRIM(SUBSTITUTE('AML.04.01'!$L$11&amp;"",CHAR(160),""))="","OK",IF(OR(NOT(ISNUMBER('AML.04.01'!$L$11)),IFERROR(INT('AML.04.01'!$L$11)&lt;&gt;'AML.04.01'!$L$11,TRUE)),$G231&amp;": "&amp;$H231,"OK"))</f>
        <v>OK</v>
      </c>
      <c r="J231" s="160" t="str">
        <f>IF(LEN(IF(VLOOKUP("AMLA_VR_AML.04.01_C0110_01",$A:$I,9,0)&lt;&gt;"OK",CHAR(10)&amp;VLOOKUP("AMLA_VR_AML.04.01_C0110_01",$A:$I,9,0),"")&amp;IF(VLOOKUP("AMLA_VR_AML.04.01_C0110_02",$A:$I,9,0)&lt;&gt;"OK",CHAR(10)&amp;VLOOKUP("AMLA_VR_AML.04.01_C0110_02",$A:$I,9,0),""))=0,"OK",MID(IF(VLOOKUP("AMLA_VR_AML.04.01_C0110_01",$A:$I,9,0)&lt;&gt;"OK",CHAR(10)&amp;VLOOKUP("AMLA_VR_AML.04.01_C0110_01",$A:$I,9,0),"")&amp;IF(VLOOKUP("AMLA_VR_AML.04.01_C0110_02",$A:$I,9,0)&lt;&gt;"OK",CHAR(10)&amp;VLOOKUP("AMLA_VR_AML.04.01_C0110_02",$A:$I,9,0),""),2,3000))</f>
        <v>OK</v>
      </c>
      <c r="K231" s="160" t="s">
        <v>1775</v>
      </c>
    </row>
    <row r="232" spans="1:11">
      <c r="A232" s="159" t="str">
        <f>"AMLA_VR_" &amp; B232 &amp; "_" &amp; C232 &amp; "_" &amp; TEXT(COUNTIFS($B$2:B232, B232, $C$2:C232, C232), "00")</f>
        <v>AMLA_VR_AML.04.02_C0010_01</v>
      </c>
      <c r="B232" s="160" t="s">
        <v>220</v>
      </c>
      <c r="C232" s="160" t="s">
        <v>81</v>
      </c>
      <c r="D232" s="160" t="s">
        <v>1549</v>
      </c>
      <c r="E232" s="160" t="str" cm="1">
        <f t="array" aca="1" ref="E232" ca="1">IF(C232="", INDIRECT("'"&amp;B232&amp;"'!B3"), INDEX(INDIRECT("'"&amp;B232&amp;"'!5:5"), COLUMN(INDIRECT("'"&amp;B232&amp;"'!"&amp;D232))))</f>
        <v>Money Remittance (Incoming) – Number</v>
      </c>
      <c r="F232" s="160" t="s">
        <v>1772</v>
      </c>
      <c r="G232" s="160" t="s">
        <v>1773</v>
      </c>
      <c r="H232" s="161" t="s">
        <v>1815</v>
      </c>
      <c r="I232" s="160" t="str">
        <f>IF('AML.04.02'!$B$11&lt;0, $G232 &amp; ": " &amp; $H232, "OK")</f>
        <v>OK</v>
      </c>
      <c r="J232" s="160" t="str">
        <f>IF(LEN(IF(VLOOKUP("AMLA_VR_AML.04.02_C0010_01",$A:$I,9,0)&lt;&gt;"OK",CHAR(10)&amp;VLOOKUP("AMLA_VR_AML.04.02_C0010_01",$A:$I,9,0),"")&amp;IF(VLOOKUP("AMLA_VR_AML.04.02_C0010_02",$A:$I,9,0)&lt;&gt;"OK",CHAR(10)&amp;VLOOKUP("AMLA_VR_AML.04.02_C0010_02",$A:$I,9,0),"")&amp;IF(VLOOKUP("AMLA_VR_AML.04.02_C0010_03",$A:$I,9,0)&lt;&gt;"OK",CHAR(10)&amp;VLOOKUP("AMLA_VR_AML.04.02_C0010_03",$A:$I,9,0),""))=0,"OK",MID(IF(VLOOKUP("AMLA_VR_AML.04.02_C0010_01",$A:$I,9,0)&lt;&gt;"OK",CHAR(10)&amp;VLOOKUP("AMLA_VR_AML.04.02_C0010_01",$A:$I,9,0),"")&amp;IF(VLOOKUP("AMLA_VR_AML.04.02_C0010_02",$A:$I,9,0)&lt;&gt;"OK",CHAR(10)&amp;VLOOKUP("AMLA_VR_AML.04.02_C0010_02",$A:$I,9,0),"")&amp;IF(VLOOKUP("AMLA_VR_AML.04.02_C0010_03",$A:$I,9,0)&lt;&gt;"OK",CHAR(10)&amp;VLOOKUP("AMLA_VR_AML.04.02_C0010_03",$A:$I,9,0),""),2,3000))</f>
        <v>OK</v>
      </c>
      <c r="K232" s="160" t="s">
        <v>1775</v>
      </c>
    </row>
    <row r="233" spans="1:11">
      <c r="A233" s="159" t="str">
        <f>"AMLA_VR_" &amp; B233 &amp; "_" &amp; C233 &amp; "_" &amp; TEXT(COUNTIFS($B$2:B233, B233, $C$2:C233, C233), "00")</f>
        <v>AMLA_VR_AML.04.02_C0010_02</v>
      </c>
      <c r="B233" s="157" t="s">
        <v>220</v>
      </c>
      <c r="C233" s="157" t="s">
        <v>81</v>
      </c>
      <c r="D233" s="157" t="s">
        <v>1549</v>
      </c>
      <c r="E233" s="160" t="str" cm="1">
        <f t="array" aca="1" ref="E233" ca="1">IF(C233="", INDIRECT("'"&amp;B233&amp;"'!B3"), INDEX(INDIRECT("'"&amp;B233&amp;"'!5:5"), COLUMN(INDIRECT("'"&amp;B233&amp;"'!"&amp;D233))))</f>
        <v>Money Remittance (Incoming) – Number</v>
      </c>
      <c r="F233" s="157" t="s">
        <v>1776</v>
      </c>
      <c r="G233" s="157" t="s">
        <v>1773</v>
      </c>
      <c r="H233" s="158" t="s">
        <v>1816</v>
      </c>
      <c r="I233" s="157" t="str">
        <f>IF(TRIM(SUBSTITUTE('AML.04.02'!$B$11&amp;"",CHAR(160),""))="","OK",IF(OR(NOT(ISNUMBER('AML.04.02'!$B$11)),IFERROR(INT('AML.04.02'!$B$11)&lt;&gt;'AML.04.02'!$B$11,TRUE)),$G233&amp;": "&amp;$H233,"OK"))</f>
        <v>OK</v>
      </c>
      <c r="J233" s="157" t="str">
        <f>IF(LEN(IF(VLOOKUP("AMLA_VR_AML.04.02_C0010_01",$A:$I,9,0)&lt;&gt;"OK",CHAR(10)&amp;VLOOKUP("AMLA_VR_AML.04.02_C0010_01",$A:$I,9,0),"")&amp;IF(VLOOKUP("AMLA_VR_AML.04.02_C0010_02",$A:$I,9,0)&lt;&gt;"OK",CHAR(10)&amp;VLOOKUP("AMLA_VR_AML.04.02_C0010_02",$A:$I,9,0),"")&amp;IF(VLOOKUP("AMLA_VR_AML.04.02_C0010_03",$A:$I,9,0)&lt;&gt;"OK",CHAR(10)&amp;VLOOKUP("AMLA_VR_AML.04.02_C0010_03",$A:$I,9,0),""))=0,"OK",MID(IF(VLOOKUP("AMLA_VR_AML.04.02_C0010_01",$A:$I,9,0)&lt;&gt;"OK",CHAR(10)&amp;VLOOKUP("AMLA_VR_AML.04.02_C0010_01",$A:$I,9,0),"")&amp;IF(VLOOKUP("AMLA_VR_AML.04.02_C0010_02",$A:$I,9,0)&lt;&gt;"OK",CHAR(10)&amp;VLOOKUP("AMLA_VR_AML.04.02_C0010_02",$A:$I,9,0),"")&amp;IF(VLOOKUP("AMLA_VR_AML.04.02_C0010_03",$A:$I,9,0)&lt;&gt;"OK",CHAR(10)&amp;VLOOKUP("AMLA_VR_AML.04.02_C0010_03",$A:$I,9,0),""),2,3000))</f>
        <v>OK</v>
      </c>
      <c r="K233" s="157" t="s">
        <v>1775</v>
      </c>
    </row>
    <row r="234" spans="1:11">
      <c r="A234" s="159" t="str">
        <f>"AMLA_VR_" &amp; B234 &amp; "_" &amp; C234 &amp; "_" &amp; TEXT(COUNTIFS($B$2:B234, B234, $C$2:C234, C234), "00")</f>
        <v>AMLA_VR_AML.04.02_C0010_03</v>
      </c>
      <c r="B234" s="157" t="s">
        <v>220</v>
      </c>
      <c r="C234" s="157" t="s">
        <v>81</v>
      </c>
      <c r="D234" s="157" t="s">
        <v>1549</v>
      </c>
      <c r="E234" s="160" t="str" cm="1">
        <f t="array" aca="1" ref="E234" ca="1">IF(C234="", INDIRECT("'"&amp;B234&amp;"'!B3"), INDEX(INDIRECT("'"&amp;B234&amp;"'!5:5"), COLUMN(INDIRECT("'"&amp;B234&amp;"'!"&amp;D234))))</f>
        <v>Money Remittance (Incoming) – Number</v>
      </c>
      <c r="F234" s="157" t="s">
        <v>1772</v>
      </c>
      <c r="G234" s="157" t="s">
        <v>1813</v>
      </c>
      <c r="H234" s="158" t="s">
        <v>1857</v>
      </c>
      <c r="I234" s="157" t="str">
        <f>IF(AND('AML.04.02'!$B$11=0, 'AML.04.02'!$D$11&gt;0), $G234 &amp; ": " &amp; $H234, "OK")</f>
        <v>OK</v>
      </c>
      <c r="J234" s="157" t="str">
        <f>IF(LEN(IF(VLOOKUP("AMLA_VR_AML.04.02_C0010_01",$A:$I,9,0)&lt;&gt;"OK",CHAR(10)&amp;VLOOKUP("AMLA_VR_AML.04.02_C0010_01",$A:$I,9,0),"")&amp;IF(VLOOKUP("AMLA_VR_AML.04.02_C0010_02",$A:$I,9,0)&lt;&gt;"OK",CHAR(10)&amp;VLOOKUP("AMLA_VR_AML.04.02_C0010_02",$A:$I,9,0),"")&amp;IF(VLOOKUP("AMLA_VR_AML.04.02_C0010_03",$A:$I,9,0)&lt;&gt;"OK",CHAR(10)&amp;VLOOKUP("AMLA_VR_AML.04.02_C0010_03",$A:$I,9,0),""))=0,"OK",MID(IF(VLOOKUP("AMLA_VR_AML.04.02_C0010_01",$A:$I,9,0)&lt;&gt;"OK",CHAR(10)&amp;VLOOKUP("AMLA_VR_AML.04.02_C0010_01",$A:$I,9,0),"")&amp;IF(VLOOKUP("AMLA_VR_AML.04.02_C0010_02",$A:$I,9,0)&lt;&gt;"OK",CHAR(10)&amp;VLOOKUP("AMLA_VR_AML.04.02_C0010_02",$A:$I,9,0),"")&amp;IF(VLOOKUP("AMLA_VR_AML.04.02_C0010_03",$A:$I,9,0)&lt;&gt;"OK",CHAR(10)&amp;VLOOKUP("AMLA_VR_AML.04.02_C0010_03",$A:$I,9,0),""),2,3000))</f>
        <v>OK</v>
      </c>
      <c r="K234" s="157" t="s">
        <v>1775</v>
      </c>
    </row>
    <row r="235" spans="1:11">
      <c r="A235" s="159" t="str">
        <f>"AMLA_VR_" &amp; B235 &amp; "_" &amp; C235 &amp; "_" &amp; TEXT(COUNTIFS($B$2:B235, B235, $C$2:C235, C235), "00")</f>
        <v>AMLA_VR_AML.04.02_C0020_01</v>
      </c>
      <c r="B235" s="160" t="s">
        <v>220</v>
      </c>
      <c r="C235" s="160" t="s">
        <v>82</v>
      </c>
      <c r="D235" s="160" t="s">
        <v>1550</v>
      </c>
      <c r="E235" s="160" t="str" cm="1">
        <f t="array" aca="1" ref="E235" ca="1">IF(C235="", INDIRECT("'"&amp;B235&amp;"'!B3"), INDEX(INDIRECT("'"&amp;B235&amp;"'!5:5"), COLUMN(INDIRECT("'"&amp;B235&amp;"'!"&amp;D235))))</f>
        <v>Money Remittance (Outgoing) – Number</v>
      </c>
      <c r="F235" s="160" t="s">
        <v>1772</v>
      </c>
      <c r="G235" s="160" t="s">
        <v>1773</v>
      </c>
      <c r="H235" s="161" t="s">
        <v>1819</v>
      </c>
      <c r="I235" s="160" t="str">
        <f>IF('AML.04.02'!$C$11&lt;0, $G235 &amp; ": " &amp; $H235, "OK")</f>
        <v>OK</v>
      </c>
      <c r="J235" s="160" t="str">
        <f>IF(LEN(IF(VLOOKUP("AMLA_VR_AML.04.02_C0020_01",$A:$I,9,0)&lt;&gt;"OK",CHAR(10)&amp;VLOOKUP("AMLA_VR_AML.04.02_C0020_01",$A:$I,9,0),"")&amp;IF(VLOOKUP("AMLA_VR_AML.04.02_C0020_02",$A:$I,9,0)&lt;&gt;"OK",CHAR(10)&amp;VLOOKUP("AMLA_VR_AML.04.02_C0020_02",$A:$I,9,0),"")&amp;IF(VLOOKUP("AMLA_VR_AML.04.02_C0020_03",$A:$I,9,0)&lt;&gt;"OK",CHAR(10)&amp;VLOOKUP("AMLA_VR_AML.04.02_C0020_03",$A:$I,9,0),""))=0,"OK",MID(IF(VLOOKUP("AMLA_VR_AML.04.02_C0020_01",$A:$I,9,0)&lt;&gt;"OK",CHAR(10)&amp;VLOOKUP("AMLA_VR_AML.04.02_C0020_01",$A:$I,9,0),"")&amp;IF(VLOOKUP("AMLA_VR_AML.04.02_C0020_02",$A:$I,9,0)&lt;&gt;"OK",CHAR(10)&amp;VLOOKUP("AMLA_VR_AML.04.02_C0020_02",$A:$I,9,0),"")&amp;IF(VLOOKUP("AMLA_VR_AML.04.02_C0020_03",$A:$I,9,0)&lt;&gt;"OK",CHAR(10)&amp;VLOOKUP("AMLA_VR_AML.04.02_C0020_03",$A:$I,9,0),""),2,3000))</f>
        <v>OK</v>
      </c>
      <c r="K235" s="160" t="s">
        <v>1775</v>
      </c>
    </row>
    <row r="236" spans="1:11">
      <c r="A236" s="159" t="str">
        <f>"AMLA_VR_" &amp; B236 &amp; "_" &amp; C236 &amp; "_" &amp; TEXT(COUNTIFS($B$2:B236, B236, $C$2:C236, C236), "00")</f>
        <v>AMLA_VR_AML.04.02_C0020_02</v>
      </c>
      <c r="B236" s="160" t="s">
        <v>220</v>
      </c>
      <c r="C236" s="160" t="s">
        <v>82</v>
      </c>
      <c r="D236" s="160" t="s">
        <v>1550</v>
      </c>
      <c r="E236" s="160" t="str" cm="1">
        <f t="array" aca="1" ref="E236" ca="1">IF(C236="", INDIRECT("'"&amp;B236&amp;"'!B3"), INDEX(INDIRECT("'"&amp;B236&amp;"'!5:5"), COLUMN(INDIRECT("'"&amp;B236&amp;"'!"&amp;D236))))</f>
        <v>Money Remittance (Outgoing) – Number</v>
      </c>
      <c r="F236" s="160" t="s">
        <v>1776</v>
      </c>
      <c r="G236" s="160" t="s">
        <v>1773</v>
      </c>
      <c r="H236" s="161" t="s">
        <v>1816</v>
      </c>
      <c r="I236" s="160" t="str">
        <f>IF(TRIM(SUBSTITUTE('AML.04.02'!$C$11&amp;"",CHAR(160),""))="","OK",IF(OR(NOT(ISNUMBER('AML.04.02'!$C$11)),IFERROR(INT('AML.04.02'!$C$11)&lt;&gt;'AML.04.02'!$C$11,TRUE)),$G236&amp;": "&amp;$H236,"OK"))</f>
        <v>OK</v>
      </c>
      <c r="J236" s="160" t="str">
        <f>IF(LEN(IF(VLOOKUP("AMLA_VR_AML.04.02_C0020_01",$A:$I,9,0)&lt;&gt;"OK",CHAR(10)&amp;VLOOKUP("AMLA_VR_AML.04.02_C0020_01",$A:$I,9,0),"")&amp;IF(VLOOKUP("AMLA_VR_AML.04.02_C0020_02",$A:$I,9,0)&lt;&gt;"OK",CHAR(10)&amp;VLOOKUP("AMLA_VR_AML.04.02_C0020_02",$A:$I,9,0),"")&amp;IF(VLOOKUP("AMLA_VR_AML.04.02_C0020_03",$A:$I,9,0)&lt;&gt;"OK",CHAR(10)&amp;VLOOKUP("AMLA_VR_AML.04.02_C0020_03",$A:$I,9,0),""))=0,"OK",MID(IF(VLOOKUP("AMLA_VR_AML.04.02_C0020_01",$A:$I,9,0)&lt;&gt;"OK",CHAR(10)&amp;VLOOKUP("AMLA_VR_AML.04.02_C0020_01",$A:$I,9,0),"")&amp;IF(VLOOKUP("AMLA_VR_AML.04.02_C0020_02",$A:$I,9,0)&lt;&gt;"OK",CHAR(10)&amp;VLOOKUP("AMLA_VR_AML.04.02_C0020_02",$A:$I,9,0),"")&amp;IF(VLOOKUP("AMLA_VR_AML.04.02_C0020_03",$A:$I,9,0)&lt;&gt;"OK",CHAR(10)&amp;VLOOKUP("AMLA_VR_AML.04.02_C0020_03",$A:$I,9,0),""),2,3000))</f>
        <v>OK</v>
      </c>
      <c r="K236" s="160" t="s">
        <v>1775</v>
      </c>
    </row>
    <row r="237" spans="1:11">
      <c r="A237" s="159" t="str">
        <f>"AMLA_VR_" &amp; B237 &amp; "_" &amp; C237 &amp; "_" &amp; TEXT(COUNTIFS($B$2:B237, B237, $C$2:C237, C237), "00")</f>
        <v>AMLA_VR_AML.04.02_C0020_03</v>
      </c>
      <c r="B237" s="157" t="s">
        <v>220</v>
      </c>
      <c r="C237" s="157" t="s">
        <v>82</v>
      </c>
      <c r="D237" s="157" t="s">
        <v>1550</v>
      </c>
      <c r="E237" s="160" t="str" cm="1">
        <f t="array" aca="1" ref="E237" ca="1">IF(C237="", INDIRECT("'"&amp;B237&amp;"'!B3"), INDEX(INDIRECT("'"&amp;B237&amp;"'!5:5"), COLUMN(INDIRECT("'"&amp;B237&amp;"'!"&amp;D237))))</f>
        <v>Money Remittance (Outgoing) – Number</v>
      </c>
      <c r="F237" s="157" t="s">
        <v>1772</v>
      </c>
      <c r="G237" s="157" t="s">
        <v>1813</v>
      </c>
      <c r="H237" s="158" t="s">
        <v>1858</v>
      </c>
      <c r="I237" s="157" t="str">
        <f>IF(AND('AML.04.02'!$C$11=0, 'AML.04.02'!$E$11&gt;0), $G237 &amp; ": " &amp; $H237, "OK")</f>
        <v>OK</v>
      </c>
      <c r="J237" s="157" t="str">
        <f>IF(LEN(IF(VLOOKUP("AMLA_VR_AML.04.02_C0020_01",$A:$I,9,0)&lt;&gt;"OK",CHAR(10)&amp;VLOOKUP("AMLA_VR_AML.04.02_C0020_01",$A:$I,9,0),"")&amp;IF(VLOOKUP("AMLA_VR_AML.04.02_C0020_02",$A:$I,9,0)&lt;&gt;"OK",CHAR(10)&amp;VLOOKUP("AMLA_VR_AML.04.02_C0020_02",$A:$I,9,0),"")&amp;IF(VLOOKUP("AMLA_VR_AML.04.02_C0020_03",$A:$I,9,0)&lt;&gt;"OK",CHAR(10)&amp;VLOOKUP("AMLA_VR_AML.04.02_C0020_03",$A:$I,9,0),""))=0,"OK",MID(IF(VLOOKUP("AMLA_VR_AML.04.02_C0020_01",$A:$I,9,0)&lt;&gt;"OK",CHAR(10)&amp;VLOOKUP("AMLA_VR_AML.04.02_C0020_01",$A:$I,9,0),"")&amp;IF(VLOOKUP("AMLA_VR_AML.04.02_C0020_02",$A:$I,9,0)&lt;&gt;"OK",CHAR(10)&amp;VLOOKUP("AMLA_VR_AML.04.02_C0020_02",$A:$I,9,0),"")&amp;IF(VLOOKUP("AMLA_VR_AML.04.02_C0020_03",$A:$I,9,0)&lt;&gt;"OK",CHAR(10)&amp;VLOOKUP("AMLA_VR_AML.04.02_C0020_03",$A:$I,9,0),""),2,3000))</f>
        <v>OK</v>
      </c>
      <c r="K237" s="157" t="s">
        <v>1775</v>
      </c>
    </row>
    <row r="238" spans="1:11">
      <c r="A238" s="159" t="str">
        <f>"AMLA_VR_" &amp; B238 &amp; "_" &amp; C238 &amp; "_" &amp; TEXT(COUNTIFS($B$2:B238, B238, $C$2:C238, C238), "00")</f>
        <v>AMLA_VR_AML.04.02_C0030_01</v>
      </c>
      <c r="B238" s="160" t="s">
        <v>220</v>
      </c>
      <c r="C238" s="160" t="s">
        <v>83</v>
      </c>
      <c r="D238" s="160" t="s">
        <v>1551</v>
      </c>
      <c r="E238" s="160" t="str" cm="1">
        <f t="array" aca="1" ref="E238" ca="1">IF(C238="", INDIRECT("'"&amp;B238&amp;"'!B3"), INDEX(INDIRECT("'"&amp;B238&amp;"'!5:5"), COLUMN(INDIRECT("'"&amp;B238&amp;"'!"&amp;D238))))</f>
        <v>Money Remittance (Incoming) - Value</v>
      </c>
      <c r="F238" s="160" t="s">
        <v>1772</v>
      </c>
      <c r="G238" s="160" t="s">
        <v>1773</v>
      </c>
      <c r="H238" s="161" t="s">
        <v>1820</v>
      </c>
      <c r="I238" s="160" t="str">
        <f>IF('AML.04.02'!$D$11&lt;0, $G238 &amp; ": " &amp; $H238, "OK")</f>
        <v>OK</v>
      </c>
      <c r="J238" s="160" t="str">
        <f>IF(LEN(IF(VLOOKUP("AMLA_VR_AML.04.02_C0030_01",$A:$I,9,0)&lt;&gt;"OK",CHAR(10)&amp;VLOOKUP("AMLA_VR_AML.04.02_C0030_01",$A:$I,9,0),"")&amp;IF(VLOOKUP("AMLA_VR_AML.04.02_C0030_02",$A:$I,9,0)&lt;&gt;"OK",CHAR(10)&amp;VLOOKUP("AMLA_VR_AML.04.02_C0030_02",$A:$I,9,0),"")&amp;IF(VLOOKUP("AMLA_VR_AML.04.02_C0030_03",$A:$I,9,0)&lt;&gt;"OK",CHAR(10)&amp;VLOOKUP("AMLA_VR_AML.04.02_C0030_03",$A:$I,9,0),""))=0,"OK",MID(IF(VLOOKUP("AMLA_VR_AML.04.02_C0030_01",$A:$I,9,0)&lt;&gt;"OK",CHAR(10)&amp;VLOOKUP("AMLA_VR_AML.04.02_C0030_01",$A:$I,9,0),"")&amp;IF(VLOOKUP("AMLA_VR_AML.04.02_C0030_02",$A:$I,9,0)&lt;&gt;"OK",CHAR(10)&amp;VLOOKUP("AMLA_VR_AML.04.02_C0030_02",$A:$I,9,0),"")&amp;IF(VLOOKUP("AMLA_VR_AML.04.02_C0030_03",$A:$I,9,0)&lt;&gt;"OK",CHAR(10)&amp;VLOOKUP("AMLA_VR_AML.04.02_C0030_03",$A:$I,9,0),""),2,3000))</f>
        <v>OK</v>
      </c>
      <c r="K238" s="160" t="s">
        <v>1775</v>
      </c>
    </row>
    <row r="239" spans="1:11">
      <c r="A239" s="159" t="str">
        <f>"AMLA_VR_" &amp; B239 &amp; "_" &amp; C239 &amp; "_" &amp; TEXT(COUNTIFS($B$2:B239, B239, $C$2:C239, C239), "00")</f>
        <v>AMLA_VR_AML.04.02_C0030_02</v>
      </c>
      <c r="B239" s="157" t="s">
        <v>220</v>
      </c>
      <c r="C239" s="157" t="s">
        <v>83</v>
      </c>
      <c r="D239" s="157" t="s">
        <v>1551</v>
      </c>
      <c r="E239" s="160" t="str" cm="1">
        <f t="array" aca="1" ref="E239" ca="1">IF(C239="", INDIRECT("'"&amp;B239&amp;"'!B3"), INDEX(INDIRECT("'"&amp;B239&amp;"'!5:5"), COLUMN(INDIRECT("'"&amp;B239&amp;"'!"&amp;D239))))</f>
        <v>Money Remittance (Incoming) - Value</v>
      </c>
      <c r="F239" s="157" t="s">
        <v>1776</v>
      </c>
      <c r="G239" s="157" t="s">
        <v>1773</v>
      </c>
      <c r="H239" s="158" t="s">
        <v>1837</v>
      </c>
      <c r="I239" s="157" t="str">
        <f>IF(TRIM(SUBSTITUTE('AML.04.02'!$D$11&amp;"",CHAR(160),""))="","OK",IF(NOT(ISNUMBER('AML.04.02'!$D$11)),$G239&amp;": "&amp;$H239,"OK"))</f>
        <v>OK</v>
      </c>
      <c r="J239" s="157" t="str">
        <f>IF(LEN(IF(VLOOKUP("AMLA_VR_AML.04.02_C0030_01",$A:$I,9,0)&lt;&gt;"OK",CHAR(10)&amp;VLOOKUP("AMLA_VR_AML.04.02_C0030_01",$A:$I,9,0),"")&amp;IF(VLOOKUP("AMLA_VR_AML.04.02_C0030_02",$A:$I,9,0)&lt;&gt;"OK",CHAR(10)&amp;VLOOKUP("AMLA_VR_AML.04.02_C0030_02",$A:$I,9,0),"")&amp;IF(VLOOKUP("AMLA_VR_AML.04.02_C0030_03",$A:$I,9,0)&lt;&gt;"OK",CHAR(10)&amp;VLOOKUP("AMLA_VR_AML.04.02_C0030_03",$A:$I,9,0),""))=0,"OK",MID(IF(VLOOKUP("AMLA_VR_AML.04.02_C0030_01",$A:$I,9,0)&lt;&gt;"OK",CHAR(10)&amp;VLOOKUP("AMLA_VR_AML.04.02_C0030_01",$A:$I,9,0),"")&amp;IF(VLOOKUP("AMLA_VR_AML.04.02_C0030_02",$A:$I,9,0)&lt;&gt;"OK",CHAR(10)&amp;VLOOKUP("AMLA_VR_AML.04.02_C0030_02",$A:$I,9,0),"")&amp;IF(VLOOKUP("AMLA_VR_AML.04.02_C0030_03",$A:$I,9,0)&lt;&gt;"OK",CHAR(10)&amp;VLOOKUP("AMLA_VR_AML.04.02_C0030_03",$A:$I,9,0),""),2,3000))</f>
        <v>OK</v>
      </c>
      <c r="K239" s="157" t="s">
        <v>1775</v>
      </c>
    </row>
    <row r="240" spans="1:11">
      <c r="A240" s="159" t="str">
        <f>"AMLA_VR_" &amp; B240 &amp; "_" &amp; C240 &amp; "_" &amp; TEXT(COUNTIFS($B$2:B240, B240, $C$2:C240, C240), "00")</f>
        <v>AMLA_VR_AML.04.02_C0030_03</v>
      </c>
      <c r="B240" s="157" t="s">
        <v>220</v>
      </c>
      <c r="C240" s="157" t="s">
        <v>83</v>
      </c>
      <c r="D240" s="157" t="s">
        <v>1551</v>
      </c>
      <c r="E240" s="160" t="str" cm="1">
        <f t="array" aca="1" ref="E240" ca="1">IF(C240="", INDIRECT("'"&amp;B240&amp;"'!B3"), INDEX(INDIRECT("'"&amp;B240&amp;"'!5:5"), COLUMN(INDIRECT("'"&amp;B240&amp;"'!"&amp;D240))))</f>
        <v>Money Remittance (Incoming) - Value</v>
      </c>
      <c r="F240" s="157" t="s">
        <v>1772</v>
      </c>
      <c r="G240" s="157" t="s">
        <v>1813</v>
      </c>
      <c r="H240" s="158" t="s">
        <v>1859</v>
      </c>
      <c r="I240" s="157" t="str">
        <f>IF(AND('AML.04.02'!$D$11=0, 'AML.04.02'!$B$11&gt;0), $G240 &amp; ": " &amp; $H240, "OK")</f>
        <v>OK</v>
      </c>
      <c r="J240" s="157" t="str">
        <f>IF(LEN(IF(VLOOKUP("AMLA_VR_AML.04.02_C0030_01",$A:$I,9,0)&lt;&gt;"OK",CHAR(10)&amp;VLOOKUP("AMLA_VR_AML.04.02_C0030_01",$A:$I,9,0),"")&amp;IF(VLOOKUP("AMLA_VR_AML.04.02_C0030_02",$A:$I,9,0)&lt;&gt;"OK",CHAR(10)&amp;VLOOKUP("AMLA_VR_AML.04.02_C0030_02",$A:$I,9,0),"")&amp;IF(VLOOKUP("AMLA_VR_AML.04.02_C0030_03",$A:$I,9,0)&lt;&gt;"OK",CHAR(10)&amp;VLOOKUP("AMLA_VR_AML.04.02_C0030_03",$A:$I,9,0),""))=0,"OK",MID(IF(VLOOKUP("AMLA_VR_AML.04.02_C0030_01",$A:$I,9,0)&lt;&gt;"OK",CHAR(10)&amp;VLOOKUP("AMLA_VR_AML.04.02_C0030_01",$A:$I,9,0),"")&amp;IF(VLOOKUP("AMLA_VR_AML.04.02_C0030_02",$A:$I,9,0)&lt;&gt;"OK",CHAR(10)&amp;VLOOKUP("AMLA_VR_AML.04.02_C0030_02",$A:$I,9,0),"")&amp;IF(VLOOKUP("AMLA_VR_AML.04.02_C0030_03",$A:$I,9,0)&lt;&gt;"OK",CHAR(10)&amp;VLOOKUP("AMLA_VR_AML.04.02_C0030_03",$A:$I,9,0),""),2,3000))</f>
        <v>OK</v>
      </c>
      <c r="K240" s="157" t="s">
        <v>1775</v>
      </c>
    </row>
    <row r="241" spans="1:11">
      <c r="A241" s="159" t="str">
        <f>"AMLA_VR_" &amp; B241 &amp; "_" &amp; C241 &amp; "_" &amp; TEXT(COUNTIFS($B$2:B241, B241, $C$2:C241, C241), "00")</f>
        <v>AMLA_VR_AML.04.02_C0040_01</v>
      </c>
      <c r="B241" s="160" t="s">
        <v>220</v>
      </c>
      <c r="C241" s="160" t="s">
        <v>84</v>
      </c>
      <c r="D241" s="160" t="s">
        <v>1552</v>
      </c>
      <c r="E241" s="160" t="str" cm="1">
        <f t="array" aca="1" ref="E241" ca="1">IF(C241="", INDIRECT("'"&amp;B241&amp;"'!B3"), INDEX(INDIRECT("'"&amp;B241&amp;"'!5:5"), COLUMN(INDIRECT("'"&amp;B241&amp;"'!"&amp;D241))))</f>
        <v>Money Remittance (Outgoing) - Value</v>
      </c>
      <c r="F241" s="160" t="s">
        <v>1772</v>
      </c>
      <c r="G241" s="160" t="s">
        <v>1773</v>
      </c>
      <c r="H241" s="161" t="s">
        <v>1821</v>
      </c>
      <c r="I241" s="160" t="str">
        <f>IF('AML.04.02'!$E$11&lt;0, $G241 &amp; ": " &amp; $H241, "OK")</f>
        <v>OK</v>
      </c>
      <c r="J241" s="160" t="str">
        <f>IF(LEN(IF(VLOOKUP("AMLA_VR_AML.04.02_C0040_01",$A:$I,9,0)&lt;&gt;"OK",CHAR(10)&amp;VLOOKUP("AMLA_VR_AML.04.02_C0040_01",$A:$I,9,0),"")&amp;IF(VLOOKUP("AMLA_VR_AML.04.02_C0040_02",$A:$I,9,0)&lt;&gt;"OK",CHAR(10)&amp;VLOOKUP("AMLA_VR_AML.04.02_C0040_02",$A:$I,9,0),"")&amp;IF(VLOOKUP("AMLA_VR_AML.04.02_C0040_03",$A:$I,9,0)&lt;&gt;"OK",CHAR(10)&amp;VLOOKUP("AMLA_VR_AML.04.02_C0040_03",$A:$I,9,0),""))=0,"OK",MID(IF(VLOOKUP("AMLA_VR_AML.04.02_C0040_01",$A:$I,9,0)&lt;&gt;"OK",CHAR(10)&amp;VLOOKUP("AMLA_VR_AML.04.02_C0040_01",$A:$I,9,0),"")&amp;IF(VLOOKUP("AMLA_VR_AML.04.02_C0040_02",$A:$I,9,0)&lt;&gt;"OK",CHAR(10)&amp;VLOOKUP("AMLA_VR_AML.04.02_C0040_02",$A:$I,9,0),"")&amp;IF(VLOOKUP("AMLA_VR_AML.04.02_C0040_03",$A:$I,9,0)&lt;&gt;"OK",CHAR(10)&amp;VLOOKUP("AMLA_VR_AML.04.02_C0040_03",$A:$I,9,0),""),2,3000))</f>
        <v>OK</v>
      </c>
      <c r="K241" s="160" t="s">
        <v>1775</v>
      </c>
    </row>
    <row r="242" spans="1:11">
      <c r="A242" s="159" t="str">
        <f>"AMLA_VR_" &amp; B242 &amp; "_" &amp; C242 &amp; "_" &amp; TEXT(COUNTIFS($B$2:B242, B242, $C$2:C242, C242), "00")</f>
        <v>AMLA_VR_AML.04.02_C0040_02</v>
      </c>
      <c r="B242" s="160" t="s">
        <v>220</v>
      </c>
      <c r="C242" s="160" t="s">
        <v>84</v>
      </c>
      <c r="D242" s="160" t="s">
        <v>1552</v>
      </c>
      <c r="E242" s="160" t="str" cm="1">
        <f t="array" aca="1" ref="E242" ca="1">IF(C242="", INDIRECT("'"&amp;B242&amp;"'!B3"), INDEX(INDIRECT("'"&amp;B242&amp;"'!5:5"), COLUMN(INDIRECT("'"&amp;B242&amp;"'!"&amp;D242))))</f>
        <v>Money Remittance (Outgoing) - Value</v>
      </c>
      <c r="F242" s="160" t="s">
        <v>1776</v>
      </c>
      <c r="G242" s="160" t="s">
        <v>1773</v>
      </c>
      <c r="H242" s="161" t="s">
        <v>1837</v>
      </c>
      <c r="I242" s="160" t="str">
        <f>IF(TRIM(SUBSTITUTE('AML.04.02'!$E$11&amp;"",CHAR(160),""))="","OK",IF(NOT(ISNUMBER('AML.04.02'!$E$11)),$G242&amp;": "&amp;$H242,"OK"))</f>
        <v>OK</v>
      </c>
      <c r="J242" s="160" t="str">
        <f>IF(LEN(IF(VLOOKUP("AMLA_VR_AML.04.02_C0040_01",$A:$I,9,0)&lt;&gt;"OK",CHAR(10)&amp;VLOOKUP("AMLA_VR_AML.04.02_C0040_01",$A:$I,9,0),"")&amp;IF(VLOOKUP("AMLA_VR_AML.04.02_C0040_02",$A:$I,9,0)&lt;&gt;"OK",CHAR(10)&amp;VLOOKUP("AMLA_VR_AML.04.02_C0040_02",$A:$I,9,0),"")&amp;IF(VLOOKUP("AMLA_VR_AML.04.02_C0040_03",$A:$I,9,0)&lt;&gt;"OK",CHAR(10)&amp;VLOOKUP("AMLA_VR_AML.04.02_C0040_03",$A:$I,9,0),""))=0,"OK",MID(IF(VLOOKUP("AMLA_VR_AML.04.02_C0040_01",$A:$I,9,0)&lt;&gt;"OK",CHAR(10)&amp;VLOOKUP("AMLA_VR_AML.04.02_C0040_01",$A:$I,9,0),"")&amp;IF(VLOOKUP("AMLA_VR_AML.04.02_C0040_02",$A:$I,9,0)&lt;&gt;"OK",CHAR(10)&amp;VLOOKUP("AMLA_VR_AML.04.02_C0040_02",$A:$I,9,0),"")&amp;IF(VLOOKUP("AMLA_VR_AML.04.02_C0040_03",$A:$I,9,0)&lt;&gt;"OK",CHAR(10)&amp;VLOOKUP("AMLA_VR_AML.04.02_C0040_03",$A:$I,9,0),""),2,3000))</f>
        <v>OK</v>
      </c>
      <c r="K242" s="160" t="s">
        <v>1775</v>
      </c>
    </row>
    <row r="243" spans="1:11">
      <c r="A243" s="159" t="str">
        <f>"AMLA_VR_" &amp; B243 &amp; "_" &amp; C243 &amp; "_" &amp; TEXT(COUNTIFS($B$2:B243, B243, $C$2:C243, C243), "00")</f>
        <v>AMLA_VR_AML.04.02_C0040_03</v>
      </c>
      <c r="B243" s="157" t="s">
        <v>220</v>
      </c>
      <c r="C243" s="157" t="s">
        <v>84</v>
      </c>
      <c r="D243" s="157" t="s">
        <v>1552</v>
      </c>
      <c r="E243" s="160" t="str" cm="1">
        <f t="array" aca="1" ref="E243" ca="1">IF(C243="", INDIRECT("'"&amp;B243&amp;"'!B3"), INDEX(INDIRECT("'"&amp;B243&amp;"'!5:5"), COLUMN(INDIRECT("'"&amp;B243&amp;"'!"&amp;D243))))</f>
        <v>Money Remittance (Outgoing) - Value</v>
      </c>
      <c r="F243" s="157" t="s">
        <v>1772</v>
      </c>
      <c r="G243" s="157" t="s">
        <v>1813</v>
      </c>
      <c r="H243" s="158" t="s">
        <v>1860</v>
      </c>
      <c r="I243" s="157" t="str">
        <f>IF(AND('AML.04.02'!$E$11=0, 'AML.04.02'!$C$11&gt;0), $G243 &amp; ": " &amp; $H243, "OK")</f>
        <v>OK</v>
      </c>
      <c r="J243" s="157" t="str">
        <f>IF(LEN(IF(VLOOKUP("AMLA_VR_AML.04.02_C0040_01",$A:$I,9,0)&lt;&gt;"OK",CHAR(10)&amp;VLOOKUP("AMLA_VR_AML.04.02_C0040_01",$A:$I,9,0),"")&amp;IF(VLOOKUP("AMLA_VR_AML.04.02_C0040_02",$A:$I,9,0)&lt;&gt;"OK",CHAR(10)&amp;VLOOKUP("AMLA_VR_AML.04.02_C0040_02",$A:$I,9,0),"")&amp;IF(VLOOKUP("AMLA_VR_AML.04.02_C0040_03",$A:$I,9,0)&lt;&gt;"OK",CHAR(10)&amp;VLOOKUP("AMLA_VR_AML.04.02_C0040_03",$A:$I,9,0),""))=0,"OK",MID(IF(VLOOKUP("AMLA_VR_AML.04.02_C0040_01",$A:$I,9,0)&lt;&gt;"OK",CHAR(10)&amp;VLOOKUP("AMLA_VR_AML.04.02_C0040_01",$A:$I,9,0),"")&amp;IF(VLOOKUP("AMLA_VR_AML.04.02_C0040_02",$A:$I,9,0)&lt;&gt;"OK",CHAR(10)&amp;VLOOKUP("AMLA_VR_AML.04.02_C0040_02",$A:$I,9,0),"")&amp;IF(VLOOKUP("AMLA_VR_AML.04.02_C0040_03",$A:$I,9,0)&lt;&gt;"OK",CHAR(10)&amp;VLOOKUP("AMLA_VR_AML.04.02_C0040_03",$A:$I,9,0),""),2,3000))</f>
        <v>OK</v>
      </c>
      <c r="K243" s="157" t="s">
        <v>1775</v>
      </c>
    </row>
    <row r="244" spans="1:11">
      <c r="A244" s="159" t="str">
        <f>"AMLA_VR_" &amp; B244 &amp; "_" &amp; C244 &amp; "_" &amp; TEXT(COUNTIFS($B$2:B244, B244, $C$2:C244, C244), "00")</f>
        <v>AMLA_VR_AML.04.02_C0050_01</v>
      </c>
      <c r="B244" s="160" t="s">
        <v>220</v>
      </c>
      <c r="C244" s="160" t="s">
        <v>85</v>
      </c>
      <c r="D244" s="160" t="s">
        <v>1553</v>
      </c>
      <c r="E244" s="160" t="str" cm="1">
        <f t="array" aca="1" ref="E244" ca="1">IF(C244="", INDIRECT("'"&amp;B244&amp;"'!B3"), INDEX(INDIRECT("'"&amp;B244&amp;"'!5:5"), COLUMN(INDIRECT("'"&amp;B244&amp;"'!"&amp;D244))))</f>
        <v>Money Remittance (Incoming) &gt; EUR 1000 - Number</v>
      </c>
      <c r="F244" s="160" t="s">
        <v>1772</v>
      </c>
      <c r="G244" s="160" t="s">
        <v>1773</v>
      </c>
      <c r="H244" s="161" t="s">
        <v>1822</v>
      </c>
      <c r="I244" s="160" t="str">
        <f>IF('AML.04.02'!$F$11&lt;0, $G244 &amp; ": " &amp; $H244, "OK")</f>
        <v>OK</v>
      </c>
      <c r="J244" s="160" t="str">
        <f>IF(LEN(IF(VLOOKUP("AMLA_VR_AML.04.02_C0050_01",$A:$I,9,0)&lt;&gt;"OK",CHAR(10)&amp;VLOOKUP("AMLA_VR_AML.04.02_C0050_01",$A:$I,9,0),"")&amp;IF(VLOOKUP("AMLA_VR_AML.04.02_C0050_02",$A:$I,9,0)&lt;&gt;"OK",CHAR(10)&amp;VLOOKUP("AMLA_VR_AML.04.02_C0050_02",$A:$I,9,0),""))=0,"OK",MID(IF(VLOOKUP("AMLA_VR_AML.04.02_C0050_01",$A:$I,9,0)&lt;&gt;"OK",CHAR(10)&amp;VLOOKUP("AMLA_VR_AML.04.02_C0050_01",$A:$I,9,0),"")&amp;IF(VLOOKUP("AMLA_VR_AML.04.02_C0050_02",$A:$I,9,0)&lt;&gt;"OK",CHAR(10)&amp;VLOOKUP("AMLA_VR_AML.04.02_C0050_02",$A:$I,9,0),""),2,3000))</f>
        <v>OK</v>
      </c>
      <c r="K244" s="160" t="s">
        <v>1775</v>
      </c>
    </row>
    <row r="245" spans="1:11">
      <c r="A245" s="159" t="str">
        <f>"AMLA_VR_" &amp; B245 &amp; "_" &amp; C245 &amp; "_" &amp; TEXT(COUNTIFS($B$2:B245, B245, $C$2:C245, C245), "00")</f>
        <v>AMLA_VR_AML.04.02_C0050_02</v>
      </c>
      <c r="B245" s="157" t="s">
        <v>220</v>
      </c>
      <c r="C245" s="157" t="s">
        <v>85</v>
      </c>
      <c r="D245" s="157" t="s">
        <v>1553</v>
      </c>
      <c r="E245" s="160" t="str" cm="1">
        <f t="array" aca="1" ref="E245" ca="1">IF(C245="", INDIRECT("'"&amp;B245&amp;"'!B3"), INDEX(INDIRECT("'"&amp;B245&amp;"'!5:5"), COLUMN(INDIRECT("'"&amp;B245&amp;"'!"&amp;D245))))</f>
        <v>Money Remittance (Incoming) &gt; EUR 1000 - Number</v>
      </c>
      <c r="F245" s="157" t="s">
        <v>1776</v>
      </c>
      <c r="G245" s="157" t="s">
        <v>1773</v>
      </c>
      <c r="H245" s="158" t="s">
        <v>1816</v>
      </c>
      <c r="I245" s="157" t="str">
        <f>IF(TRIM(SUBSTITUTE('AML.04.02'!$F$11&amp;"",CHAR(160),""))="","OK",IF(OR(NOT(ISNUMBER('AML.04.02'!$F$11)),IFERROR(INT('AML.04.02'!$F$11)&lt;&gt;'AML.04.02'!$F$11,TRUE)),$G245&amp;": "&amp;$H245,"OK"))</f>
        <v>OK</v>
      </c>
      <c r="J245" s="157" t="str">
        <f>IF(LEN(IF(VLOOKUP("AMLA_VR_AML.04.02_C0050_01",$A:$I,9,0)&lt;&gt;"OK",CHAR(10)&amp;VLOOKUP("AMLA_VR_AML.04.02_C0050_01",$A:$I,9,0),"")&amp;IF(VLOOKUP("AMLA_VR_AML.04.02_C0050_02",$A:$I,9,0)&lt;&gt;"OK",CHAR(10)&amp;VLOOKUP("AMLA_VR_AML.04.02_C0050_02",$A:$I,9,0),""))=0,"OK",MID(IF(VLOOKUP("AMLA_VR_AML.04.02_C0050_01",$A:$I,9,0)&lt;&gt;"OK",CHAR(10)&amp;VLOOKUP("AMLA_VR_AML.04.02_C0050_01",$A:$I,9,0),"")&amp;IF(VLOOKUP("AMLA_VR_AML.04.02_C0050_02",$A:$I,9,0)&lt;&gt;"OK",CHAR(10)&amp;VLOOKUP("AMLA_VR_AML.04.02_C0050_02",$A:$I,9,0),""),2,3000))</f>
        <v>OK</v>
      </c>
      <c r="K245" s="157" t="s">
        <v>1775</v>
      </c>
    </row>
    <row r="246" spans="1:11">
      <c r="A246" s="159" t="str">
        <f>"AMLA_VR_" &amp; B246 &amp; "_" &amp; C246 &amp; "_" &amp; TEXT(COUNTIFS($B$2:B246, B246, $C$2:C246, C246), "00")</f>
        <v>AMLA_VR_AML.04.02_C0060_01</v>
      </c>
      <c r="B246" s="157" t="s">
        <v>220</v>
      </c>
      <c r="C246" s="157" t="s">
        <v>86</v>
      </c>
      <c r="D246" s="157" t="s">
        <v>1554</v>
      </c>
      <c r="E246" s="160" t="str" cm="1">
        <f t="array" aca="1" ref="E246" ca="1">IF(C246="", INDIRECT("'"&amp;B246&amp;"'!B3"), INDEX(INDIRECT("'"&amp;B246&amp;"'!5:5"), COLUMN(INDIRECT("'"&amp;B246&amp;"'!"&amp;D246))))</f>
        <v>Money Remittance (Outgoing) &gt; EUR 1000 - Volume</v>
      </c>
      <c r="F246" s="157" t="s">
        <v>1772</v>
      </c>
      <c r="G246" s="157" t="s">
        <v>1773</v>
      </c>
      <c r="H246" s="158" t="s">
        <v>1823</v>
      </c>
      <c r="I246" s="157" t="str">
        <f>IF('AML.04.02'!$G$11&lt;0, $G246 &amp; ": " &amp; $H246, "OK")</f>
        <v>OK</v>
      </c>
      <c r="J246" s="157" t="str">
        <f>IF(LEN(IF(VLOOKUP("AMLA_VR_AML.04.02_C0060_01",$A:$I,9,0)&lt;&gt;"OK",CHAR(10)&amp;VLOOKUP("AMLA_VR_AML.04.02_C0060_01",$A:$I,9,0),"")&amp;IF(VLOOKUP("AMLA_VR_AML.04.02_C0060_02",$A:$I,9,0)&lt;&gt;"OK",CHAR(10)&amp;VLOOKUP("AMLA_VR_AML.04.02_C0060_02",$A:$I,9,0),""))=0,"OK",MID(IF(VLOOKUP("AMLA_VR_AML.04.02_C0060_01",$A:$I,9,0)&lt;&gt;"OK",CHAR(10)&amp;VLOOKUP("AMLA_VR_AML.04.02_C0060_01",$A:$I,9,0),"")&amp;IF(VLOOKUP("AMLA_VR_AML.04.02_C0060_02",$A:$I,9,0)&lt;&gt;"OK",CHAR(10)&amp;VLOOKUP("AMLA_VR_AML.04.02_C0060_02",$A:$I,9,0),""),2,3000))</f>
        <v>OK</v>
      </c>
      <c r="K246" s="157" t="s">
        <v>1775</v>
      </c>
    </row>
    <row r="247" spans="1:11">
      <c r="A247" s="159" t="str">
        <f>"AMLA_VR_" &amp; B247 &amp; "_" &amp; C247 &amp; "_" &amp; TEXT(COUNTIFS($B$2:B247, B247, $C$2:C247, C247), "00")</f>
        <v>AMLA_VR_AML.04.02_C0060_02</v>
      </c>
      <c r="B247" s="160" t="s">
        <v>220</v>
      </c>
      <c r="C247" s="160" t="s">
        <v>86</v>
      </c>
      <c r="D247" s="160" t="s">
        <v>1554</v>
      </c>
      <c r="E247" s="160" t="str" cm="1">
        <f t="array" aca="1" ref="E247" ca="1">IF(C247="", INDIRECT("'"&amp;B247&amp;"'!B3"), INDEX(INDIRECT("'"&amp;B247&amp;"'!5:5"), COLUMN(INDIRECT("'"&amp;B247&amp;"'!"&amp;D247))))</f>
        <v>Money Remittance (Outgoing) &gt; EUR 1000 - Volume</v>
      </c>
      <c r="F247" s="160" t="s">
        <v>1776</v>
      </c>
      <c r="G247" s="160" t="s">
        <v>1773</v>
      </c>
      <c r="H247" s="161" t="s">
        <v>1816</v>
      </c>
      <c r="I247" s="160" t="str">
        <f>IF(TRIM(SUBSTITUTE('AML.04.02'!$G$11&amp;"",CHAR(160),""))="","OK",IF(OR(NOT(ISNUMBER('AML.04.02'!$G$11)),IFERROR(INT('AML.04.02'!$G$11)&lt;&gt;'AML.04.02'!$G$11,TRUE)),$G247&amp;": "&amp;$H247,"OK"))</f>
        <v>OK</v>
      </c>
      <c r="J247" s="160" t="str">
        <f>IF(LEN(IF(VLOOKUP("AMLA_VR_AML.04.02_C0060_01",$A:$I,9,0)&lt;&gt;"OK",CHAR(10)&amp;VLOOKUP("AMLA_VR_AML.04.02_C0060_01",$A:$I,9,0),"")&amp;IF(VLOOKUP("AMLA_VR_AML.04.02_C0060_02",$A:$I,9,0)&lt;&gt;"OK",CHAR(10)&amp;VLOOKUP("AMLA_VR_AML.04.02_C0060_02",$A:$I,9,0),""))=0,"OK",MID(IF(VLOOKUP("AMLA_VR_AML.04.02_C0060_01",$A:$I,9,0)&lt;&gt;"OK",CHAR(10)&amp;VLOOKUP("AMLA_VR_AML.04.02_C0060_01",$A:$I,9,0),"")&amp;IF(VLOOKUP("AMLA_VR_AML.04.02_C0060_02",$A:$I,9,0)&lt;&gt;"OK",CHAR(10)&amp;VLOOKUP("AMLA_VR_AML.04.02_C0060_02",$A:$I,9,0),""),2,3000))</f>
        <v>OK</v>
      </c>
      <c r="K247" s="160" t="s">
        <v>1775</v>
      </c>
    </row>
    <row r="248" spans="1:11">
      <c r="A248" s="159" t="str">
        <f>"AMLA_VR_" &amp; B248 &amp; "_" &amp; C248 &amp; "_" &amp; TEXT(COUNTIFS($B$2:B248, B248, $C$2:C248, C248), "00")</f>
        <v>AMLA_VR_AML.04.03_C0010_01</v>
      </c>
      <c r="B248" s="160" t="s">
        <v>228</v>
      </c>
      <c r="C248" s="160" t="s">
        <v>81</v>
      </c>
      <c r="D248" s="160" t="s">
        <v>1549</v>
      </c>
      <c r="E248" s="160" t="str" cm="1">
        <f t="array" aca="1" ref="E248" ca="1">IF(C248="", INDIRECT("'"&amp;B248&amp;"'!B3"), INDEX(INDIRECT("'"&amp;B248&amp;"'!5:5"), COLUMN(INDIRECT("'"&amp;B248&amp;"'!"&amp;D248))))</f>
        <v>Customers with AUM &gt;= EUR 5M and total assets &gt;= EUR 50M</v>
      </c>
      <c r="F248" s="160" t="s">
        <v>1772</v>
      </c>
      <c r="G248" s="160" t="s">
        <v>1773</v>
      </c>
      <c r="H248" s="161" t="s">
        <v>1815</v>
      </c>
      <c r="I248" s="160" t="str">
        <f>IF('AML.04.03'!$B$11&lt;0, $G248 &amp; ": " &amp; $H248, "OK")</f>
        <v>OK</v>
      </c>
      <c r="J248" s="160" t="str">
        <f>IF(LEN(IF(VLOOKUP("AMLA_VR_AML.04.03_C0010_01",$A:$I,9,0)&lt;&gt;"OK",CHAR(10)&amp;VLOOKUP("AMLA_VR_AML.04.03_C0010_01",$A:$I,9,0),"")&amp;IF(VLOOKUP("AMLA_VR_AML.04.03_C0010_02",$A:$I,9,0)&lt;&gt;"OK",CHAR(10)&amp;VLOOKUP("AMLA_VR_AML.04.03_C0010_02",$A:$I,9,0),"")&amp;IF(VLOOKUP("AMLA_VR_AML.04.03_C0010_03",$A:$I,9,0)&lt;&gt;"OK",CHAR(10)&amp;VLOOKUP("AMLA_VR_AML.04.03_C0010_03",$A:$I,9,0),""))=0,"OK",MID(IF(VLOOKUP("AMLA_VR_AML.04.03_C0010_01",$A:$I,9,0)&lt;&gt;"OK",CHAR(10)&amp;VLOOKUP("AMLA_VR_AML.04.03_C0010_01",$A:$I,9,0),"")&amp;IF(VLOOKUP("AMLA_VR_AML.04.03_C0010_02",$A:$I,9,0)&lt;&gt;"OK",CHAR(10)&amp;VLOOKUP("AMLA_VR_AML.04.03_C0010_02",$A:$I,9,0),"")&amp;IF(VLOOKUP("AMLA_VR_AML.04.03_C0010_03",$A:$I,9,0)&lt;&gt;"OK",CHAR(10)&amp;VLOOKUP("AMLA_VR_AML.04.03_C0010_03",$A:$I,9,0),""),2,3000))</f>
        <v>OK</v>
      </c>
      <c r="K248" s="160" t="s">
        <v>1775</v>
      </c>
    </row>
    <row r="249" spans="1:11">
      <c r="A249" s="159" t="str">
        <f>"AMLA_VR_" &amp; B249 &amp; "_" &amp; C249 &amp; "_" &amp; TEXT(COUNTIFS($B$2:B249, B249, $C$2:C249, C249), "00")</f>
        <v>AMLA_VR_AML.04.03_C0010_02</v>
      </c>
      <c r="B249" s="157" t="s">
        <v>228</v>
      </c>
      <c r="C249" s="157" t="s">
        <v>81</v>
      </c>
      <c r="D249" s="157" t="s">
        <v>1549</v>
      </c>
      <c r="E249" s="160" t="str" cm="1">
        <f t="array" aca="1" ref="E249" ca="1">IF(C249="", INDIRECT("'"&amp;B249&amp;"'!B3"), INDEX(INDIRECT("'"&amp;B249&amp;"'!5:5"), COLUMN(INDIRECT("'"&amp;B249&amp;"'!"&amp;D249))))</f>
        <v>Customers with AUM &gt;= EUR 5M and total assets &gt;= EUR 50M</v>
      </c>
      <c r="F249" s="157" t="s">
        <v>1772</v>
      </c>
      <c r="G249" s="157" t="s">
        <v>1773</v>
      </c>
      <c r="H249" s="158" t="s">
        <v>1861</v>
      </c>
      <c r="I249" s="157" t="str">
        <f>IF('AML.04.03'!$B$11 &gt; 'AML.02.01'!$B$11, $G249 &amp; ": " &amp; $H249, "OK")</f>
        <v>OK</v>
      </c>
      <c r="J249" s="157" t="str">
        <f>IF(LEN(IF(VLOOKUP("AMLA_VR_AML.04.03_C0010_01",$A:$I,9,0)&lt;&gt;"OK",CHAR(10)&amp;VLOOKUP("AMLA_VR_AML.04.03_C0010_01",$A:$I,9,0),"")&amp;IF(VLOOKUP("AMLA_VR_AML.04.03_C0010_02",$A:$I,9,0)&lt;&gt;"OK",CHAR(10)&amp;VLOOKUP("AMLA_VR_AML.04.03_C0010_02",$A:$I,9,0),"")&amp;IF(VLOOKUP("AMLA_VR_AML.04.03_C0010_03",$A:$I,9,0)&lt;&gt;"OK",CHAR(10)&amp;VLOOKUP("AMLA_VR_AML.04.03_C0010_03",$A:$I,9,0),""))=0,"OK",MID(IF(VLOOKUP("AMLA_VR_AML.04.03_C0010_01",$A:$I,9,0)&lt;&gt;"OK",CHAR(10)&amp;VLOOKUP("AMLA_VR_AML.04.03_C0010_01",$A:$I,9,0),"")&amp;IF(VLOOKUP("AMLA_VR_AML.04.03_C0010_02",$A:$I,9,0)&lt;&gt;"OK",CHAR(10)&amp;VLOOKUP("AMLA_VR_AML.04.03_C0010_02",$A:$I,9,0),"")&amp;IF(VLOOKUP("AMLA_VR_AML.04.03_C0010_03",$A:$I,9,0)&lt;&gt;"OK",CHAR(10)&amp;VLOOKUP("AMLA_VR_AML.04.03_C0010_03",$A:$I,9,0),""),2,3000))</f>
        <v>OK</v>
      </c>
      <c r="K249" s="157" t="s">
        <v>1775</v>
      </c>
    </row>
    <row r="250" spans="1:11">
      <c r="A250" s="159" t="str">
        <f>"AMLA_VR_" &amp; B250 &amp; "_" &amp; C250 &amp; "_" &amp; TEXT(COUNTIFS($B$2:B250, B250, $C$2:C250, C250), "00")</f>
        <v>AMLA_VR_AML.04.03_C0010_03</v>
      </c>
      <c r="B250" s="157" t="s">
        <v>228</v>
      </c>
      <c r="C250" s="157" t="s">
        <v>81</v>
      </c>
      <c r="D250" s="157" t="s">
        <v>1549</v>
      </c>
      <c r="E250" s="160" t="str" cm="1">
        <f t="array" aca="1" ref="E250" ca="1">IF(C250="", INDIRECT("'"&amp;B250&amp;"'!B3"), INDEX(INDIRECT("'"&amp;B250&amp;"'!5:5"), COLUMN(INDIRECT("'"&amp;B250&amp;"'!"&amp;D250))))</f>
        <v>Customers with AUM &gt;= EUR 5M and total assets &gt;= EUR 50M</v>
      </c>
      <c r="F250" s="157" t="s">
        <v>1776</v>
      </c>
      <c r="G250" s="157" t="s">
        <v>1773</v>
      </c>
      <c r="H250" s="158" t="s">
        <v>1816</v>
      </c>
      <c r="I250" s="157" t="str">
        <f>IF(TRIM(SUBSTITUTE('AML.04.03'!$B$11&amp;"",CHAR(160),""))="","OK",IF(OR(NOT(ISNUMBER('AML.04.03'!$B$11)),IFERROR(INT('AML.04.03'!$B$11)&lt;&gt;'AML.04.03'!$B$11,TRUE)),$G250&amp;": "&amp;$H250,"OK"))</f>
        <v>OK</v>
      </c>
      <c r="J250" s="157" t="str">
        <f>IF(LEN(IF(VLOOKUP("AMLA_VR_AML.04.03_C0010_01",$A:$I,9,0)&lt;&gt;"OK",CHAR(10)&amp;VLOOKUP("AMLA_VR_AML.04.03_C0010_01",$A:$I,9,0),"")&amp;IF(VLOOKUP("AMLA_VR_AML.04.03_C0010_02",$A:$I,9,0)&lt;&gt;"OK",CHAR(10)&amp;VLOOKUP("AMLA_VR_AML.04.03_C0010_02",$A:$I,9,0),"")&amp;IF(VLOOKUP("AMLA_VR_AML.04.03_C0010_03",$A:$I,9,0)&lt;&gt;"OK",CHAR(10)&amp;VLOOKUP("AMLA_VR_AML.04.03_C0010_03",$A:$I,9,0),""))=0,"OK",MID(IF(VLOOKUP("AMLA_VR_AML.04.03_C0010_01",$A:$I,9,0)&lt;&gt;"OK",CHAR(10)&amp;VLOOKUP("AMLA_VR_AML.04.03_C0010_01",$A:$I,9,0),"")&amp;IF(VLOOKUP("AMLA_VR_AML.04.03_C0010_02",$A:$I,9,0)&lt;&gt;"OK",CHAR(10)&amp;VLOOKUP("AMLA_VR_AML.04.03_C0010_02",$A:$I,9,0),"")&amp;IF(VLOOKUP("AMLA_VR_AML.04.03_C0010_03",$A:$I,9,0)&lt;&gt;"OK",CHAR(10)&amp;VLOOKUP("AMLA_VR_AML.04.03_C0010_03",$A:$I,9,0),""),2,3000))</f>
        <v>OK</v>
      </c>
      <c r="K250" s="157" t="s">
        <v>1775</v>
      </c>
    </row>
    <row r="251" spans="1:11">
      <c r="A251" s="159" t="str">
        <f>"AMLA_VR_" &amp; B251 &amp; "_" &amp; C251 &amp; "_" &amp; TEXT(COUNTIFS($B$2:B251, B251, $C$2:C251, C251), "00")</f>
        <v>AMLA_VR_AML.04.03_C0020_01</v>
      </c>
      <c r="B251" s="160" t="s">
        <v>228</v>
      </c>
      <c r="C251" s="160" t="s">
        <v>82</v>
      </c>
      <c r="D251" s="160" t="s">
        <v>1550</v>
      </c>
      <c r="E251" s="160" t="str" cm="1">
        <f t="array" aca="1" ref="E251" ca="1">IF(C251="", INDIRECT("'"&amp;B251&amp;"'!B3"), INDEX(INDIRECT("'"&amp;B251&amp;"'!5:5"), COLUMN(INDIRECT("'"&amp;B251&amp;"'!"&amp;D251))))</f>
        <v>Private Banking Customers (EBA)</v>
      </c>
      <c r="F251" s="160" t="s">
        <v>1772</v>
      </c>
      <c r="G251" s="160" t="s">
        <v>1773</v>
      </c>
      <c r="H251" s="161" t="s">
        <v>1819</v>
      </c>
      <c r="I251" s="160" t="str">
        <f>IF('AML.04.03'!$C$11&lt;0, $G251 &amp; ": " &amp; $H251, "OK")</f>
        <v>OK</v>
      </c>
      <c r="J251" s="160" t="str">
        <f>IF(LEN(IF(VLOOKUP("AMLA_VR_AML.04.03_C0020_01",$A:$I,9,0)&lt;&gt;"OK",CHAR(10)&amp;VLOOKUP("AMLA_VR_AML.04.03_C0020_01",$A:$I,9,0),"")&amp;IF(VLOOKUP("AMLA_VR_AML.04.03_C0020_02",$A:$I,9,0)&lt;&gt;"OK",CHAR(10)&amp;VLOOKUP("AMLA_VR_AML.04.03_C0020_02",$A:$I,9,0),"")&amp;IF(VLOOKUP("AMLA_VR_AML.04.03_C0020_03",$A:$I,9,0)&lt;&gt;"OK",CHAR(10)&amp;VLOOKUP("AMLA_VR_AML.04.03_C0020_03",$A:$I,9,0),""))=0,"OK",MID(IF(VLOOKUP("AMLA_VR_AML.04.03_C0020_01",$A:$I,9,0)&lt;&gt;"OK",CHAR(10)&amp;VLOOKUP("AMLA_VR_AML.04.03_C0020_01",$A:$I,9,0),"")&amp;IF(VLOOKUP("AMLA_VR_AML.04.03_C0020_02",$A:$I,9,0)&lt;&gt;"OK",CHAR(10)&amp;VLOOKUP("AMLA_VR_AML.04.03_C0020_02",$A:$I,9,0),"")&amp;IF(VLOOKUP("AMLA_VR_AML.04.03_C0020_03",$A:$I,9,0)&lt;&gt;"OK",CHAR(10)&amp;VLOOKUP("AMLA_VR_AML.04.03_C0020_03",$A:$I,9,0),""),2,3000))</f>
        <v>OK</v>
      </c>
      <c r="K251" s="160" t="s">
        <v>1775</v>
      </c>
    </row>
    <row r="252" spans="1:11">
      <c r="A252" s="159" t="str">
        <f>"AMLA_VR_" &amp; B252 &amp; "_" &amp; C252 &amp; "_" &amp; TEXT(COUNTIFS($B$2:B252, B252, $C$2:C252, C252), "00")</f>
        <v>AMLA_VR_AML.04.03_C0020_02</v>
      </c>
      <c r="B252" s="157" t="s">
        <v>228</v>
      </c>
      <c r="C252" s="157" t="s">
        <v>82</v>
      </c>
      <c r="D252" s="157" t="s">
        <v>1550</v>
      </c>
      <c r="E252" s="160" t="str" cm="1">
        <f t="array" aca="1" ref="E252" ca="1">IF(C252="", INDIRECT("'"&amp;B252&amp;"'!B3"), INDEX(INDIRECT("'"&amp;B252&amp;"'!5:5"), COLUMN(INDIRECT("'"&amp;B252&amp;"'!"&amp;D252))))</f>
        <v>Private Banking Customers (EBA)</v>
      </c>
      <c r="F252" s="157" t="s">
        <v>1772</v>
      </c>
      <c r="G252" s="157" t="s">
        <v>1773</v>
      </c>
      <c r="H252" s="158" t="s">
        <v>1862</v>
      </c>
      <c r="I252" s="157" t="str">
        <f>IF('AML.04.03'!$C$11 &gt; 'AML.02.01'!$B$11, $G252 &amp; ": " &amp; $H252, "OK")</f>
        <v>OK</v>
      </c>
      <c r="J252" s="157" t="str">
        <f>IF(LEN(IF(VLOOKUP("AMLA_VR_AML.04.03_C0020_01",$A:$I,9,0)&lt;&gt;"OK",CHAR(10)&amp;VLOOKUP("AMLA_VR_AML.04.03_C0020_01",$A:$I,9,0),"")&amp;IF(VLOOKUP("AMLA_VR_AML.04.03_C0020_02",$A:$I,9,0)&lt;&gt;"OK",CHAR(10)&amp;VLOOKUP("AMLA_VR_AML.04.03_C0020_02",$A:$I,9,0),"")&amp;IF(VLOOKUP("AMLA_VR_AML.04.03_C0020_03",$A:$I,9,0)&lt;&gt;"OK",CHAR(10)&amp;VLOOKUP("AMLA_VR_AML.04.03_C0020_03",$A:$I,9,0),""))=0,"OK",MID(IF(VLOOKUP("AMLA_VR_AML.04.03_C0020_01",$A:$I,9,0)&lt;&gt;"OK",CHAR(10)&amp;VLOOKUP("AMLA_VR_AML.04.03_C0020_01",$A:$I,9,0),"")&amp;IF(VLOOKUP("AMLA_VR_AML.04.03_C0020_02",$A:$I,9,0)&lt;&gt;"OK",CHAR(10)&amp;VLOOKUP("AMLA_VR_AML.04.03_C0020_02",$A:$I,9,0),"")&amp;IF(VLOOKUP("AMLA_VR_AML.04.03_C0020_03",$A:$I,9,0)&lt;&gt;"OK",CHAR(10)&amp;VLOOKUP("AMLA_VR_AML.04.03_C0020_03",$A:$I,9,0),""),2,3000))</f>
        <v>OK</v>
      </c>
      <c r="K252" s="157" t="s">
        <v>1775</v>
      </c>
    </row>
    <row r="253" spans="1:11">
      <c r="A253" s="159" t="str">
        <f>"AMLA_VR_" &amp; B253 &amp; "_" &amp; C253 &amp; "_" &amp; TEXT(COUNTIFS($B$2:B253, B253, $C$2:C253, C253), "00")</f>
        <v>AMLA_VR_AML.04.03_C0020_03</v>
      </c>
      <c r="B253" s="160" t="s">
        <v>228</v>
      </c>
      <c r="C253" s="160" t="s">
        <v>82</v>
      </c>
      <c r="D253" s="160" t="s">
        <v>1550</v>
      </c>
      <c r="E253" s="160" t="str" cm="1">
        <f t="array" aca="1" ref="E253" ca="1">IF(C253="", INDIRECT("'"&amp;B253&amp;"'!B3"), INDEX(INDIRECT("'"&amp;B253&amp;"'!5:5"), COLUMN(INDIRECT("'"&amp;B253&amp;"'!"&amp;D253))))</f>
        <v>Private Banking Customers (EBA)</v>
      </c>
      <c r="F253" s="160" t="s">
        <v>1776</v>
      </c>
      <c r="G253" s="160" t="s">
        <v>1773</v>
      </c>
      <c r="H253" s="161" t="s">
        <v>1816</v>
      </c>
      <c r="I253" s="160" t="str">
        <f>IF(TRIM(SUBSTITUTE('AML.04.03'!$C$11&amp;"",CHAR(160),""))="","OK",IF(OR(NOT(ISNUMBER('AML.04.03'!$C$11)),IFERROR(INT('AML.04.03'!$C$11)&lt;&gt;'AML.04.03'!$C$11,TRUE)),$G253&amp;": "&amp;$H253,"OK"))</f>
        <v>OK</v>
      </c>
      <c r="J253" s="160" t="str">
        <f>IF(LEN(IF(VLOOKUP("AMLA_VR_AML.04.03_C0020_01",$A:$I,9,0)&lt;&gt;"OK",CHAR(10)&amp;VLOOKUP("AMLA_VR_AML.04.03_C0020_01",$A:$I,9,0),"")&amp;IF(VLOOKUP("AMLA_VR_AML.04.03_C0020_02",$A:$I,9,0)&lt;&gt;"OK",CHAR(10)&amp;VLOOKUP("AMLA_VR_AML.04.03_C0020_02",$A:$I,9,0),"")&amp;IF(VLOOKUP("AMLA_VR_AML.04.03_C0020_03",$A:$I,9,0)&lt;&gt;"OK",CHAR(10)&amp;VLOOKUP("AMLA_VR_AML.04.03_C0020_03",$A:$I,9,0),""))=0,"OK",MID(IF(VLOOKUP("AMLA_VR_AML.04.03_C0020_01",$A:$I,9,0)&lt;&gt;"OK",CHAR(10)&amp;VLOOKUP("AMLA_VR_AML.04.03_C0020_01",$A:$I,9,0),"")&amp;IF(VLOOKUP("AMLA_VR_AML.04.03_C0020_02",$A:$I,9,0)&lt;&gt;"OK",CHAR(10)&amp;VLOOKUP("AMLA_VR_AML.04.03_C0020_02",$A:$I,9,0),"")&amp;IF(VLOOKUP("AMLA_VR_AML.04.03_C0020_03",$A:$I,9,0)&lt;&gt;"OK",CHAR(10)&amp;VLOOKUP("AMLA_VR_AML.04.03_C0020_03",$A:$I,9,0),""),2,3000))</f>
        <v>OK</v>
      </c>
      <c r="K253" s="160" t="s">
        <v>1775</v>
      </c>
    </row>
    <row r="254" spans="1:11">
      <c r="A254" s="159" t="str">
        <f>"AMLA_VR_" &amp; B254 &amp; "_" &amp; C254 &amp; "_" &amp; TEXT(COUNTIFS($B$2:B254, B254, $C$2:C254, C254), "00")</f>
        <v>AMLA_VR_AML.04.04_C0010_01</v>
      </c>
      <c r="B254" s="160" t="s">
        <v>232</v>
      </c>
      <c r="C254" s="160" t="s">
        <v>81</v>
      </c>
      <c r="D254" s="160" t="s">
        <v>1549</v>
      </c>
      <c r="E254" s="160" t="str" cm="1">
        <f t="array" aca="1" ref="E254" ca="1">IF(C254="", INDIRECT("'"&amp;B254&amp;"'!B3"), INDEX(INDIRECT("'"&amp;B254&amp;"'!5:5"), COLUMN(INDIRECT("'"&amp;B254&amp;"'!"&amp;D254))))</f>
        <v>Respondent Client Transactions (Incoming) - Value</v>
      </c>
      <c r="F254" s="160" t="s">
        <v>1772</v>
      </c>
      <c r="G254" s="160" t="s">
        <v>1773</v>
      </c>
      <c r="H254" s="161" t="s">
        <v>1815</v>
      </c>
      <c r="I254" s="160" t="str">
        <f>IF('AML.04.04'!$B$11&lt;0, $G254 &amp; ": " &amp; $H254, "OK")</f>
        <v>OK</v>
      </c>
      <c r="J254" s="160" t="str">
        <f>IF(LEN(IF(VLOOKUP("AMLA_VR_AML.04.04_C0010_01",$A:$I,9,0)&lt;&gt;"OK",CHAR(10)&amp;VLOOKUP("AMLA_VR_AML.04.04_C0010_01",$A:$I,9,0),"")&amp;IF(VLOOKUP("AMLA_VR_AML.04.04_C0010_02",$A:$I,9,0)&lt;&gt;"OK",CHAR(10)&amp;VLOOKUP("AMLA_VR_AML.04.04_C0010_02",$A:$I,9,0),""))=0,"OK",MID(IF(VLOOKUP("AMLA_VR_AML.04.04_C0010_01",$A:$I,9,0)&lt;&gt;"OK",CHAR(10)&amp;VLOOKUP("AMLA_VR_AML.04.04_C0010_01",$A:$I,9,0),"")&amp;IF(VLOOKUP("AMLA_VR_AML.04.04_C0010_02",$A:$I,9,0)&lt;&gt;"OK",CHAR(10)&amp;VLOOKUP("AMLA_VR_AML.04.04_C0010_02",$A:$I,9,0),""),2,3000))</f>
        <v>OK</v>
      </c>
      <c r="K254" s="160" t="s">
        <v>1775</v>
      </c>
    </row>
    <row r="255" spans="1:11">
      <c r="A255" s="159" t="str">
        <f>"AMLA_VR_" &amp; B255 &amp; "_" &amp; C255 &amp; "_" &amp; TEXT(COUNTIFS($B$2:B255, B255, $C$2:C255, C255), "00")</f>
        <v>AMLA_VR_AML.04.04_C0010_02</v>
      </c>
      <c r="B255" s="157" t="s">
        <v>232</v>
      </c>
      <c r="C255" s="157" t="s">
        <v>81</v>
      </c>
      <c r="D255" s="157" t="s">
        <v>1549</v>
      </c>
      <c r="E255" s="160" t="str" cm="1">
        <f t="array" aca="1" ref="E255" ca="1">IF(C255="", INDIRECT("'"&amp;B255&amp;"'!B3"), INDEX(INDIRECT("'"&amp;B255&amp;"'!5:5"), COLUMN(INDIRECT("'"&amp;B255&amp;"'!"&amp;D255))))</f>
        <v>Respondent Client Transactions (Incoming) - Value</v>
      </c>
      <c r="F255" s="157" t="s">
        <v>1776</v>
      </c>
      <c r="G255" s="157" t="s">
        <v>1773</v>
      </c>
      <c r="H255" s="158" t="s">
        <v>1837</v>
      </c>
      <c r="I255" s="157" t="str">
        <f>IF(TRIM(SUBSTITUTE('AML.04.04'!$B$11&amp;"",CHAR(160),""))="","OK",IF(NOT(ISNUMBER('AML.04.04'!$B$11)),$G255&amp;": "&amp;$H255,"OK"))</f>
        <v>OK</v>
      </c>
      <c r="J255" s="157" t="str">
        <f>IF(LEN(IF(VLOOKUP("AMLA_VR_AML.04.04_C0010_01",$A:$I,9,0)&lt;&gt;"OK",CHAR(10)&amp;VLOOKUP("AMLA_VR_AML.04.04_C0010_01",$A:$I,9,0),"")&amp;IF(VLOOKUP("AMLA_VR_AML.04.04_C0010_02",$A:$I,9,0)&lt;&gt;"OK",CHAR(10)&amp;VLOOKUP("AMLA_VR_AML.04.04_C0010_02",$A:$I,9,0),""))=0,"OK",MID(IF(VLOOKUP("AMLA_VR_AML.04.04_C0010_01",$A:$I,9,0)&lt;&gt;"OK",CHAR(10)&amp;VLOOKUP("AMLA_VR_AML.04.04_C0010_01",$A:$I,9,0),"")&amp;IF(VLOOKUP("AMLA_VR_AML.04.04_C0010_02",$A:$I,9,0)&lt;&gt;"OK",CHAR(10)&amp;VLOOKUP("AMLA_VR_AML.04.04_C0010_02",$A:$I,9,0),""),2,3000))</f>
        <v>OK</v>
      </c>
      <c r="K255" s="157" t="s">
        <v>1775</v>
      </c>
    </row>
    <row r="256" spans="1:11">
      <c r="A256" s="159" t="str">
        <f>"AMLA_VR_" &amp; B256 &amp; "_" &amp; C256 &amp; "_" &amp; TEXT(COUNTIFS($B$2:B256, B256, $C$2:C256, C256), "00")</f>
        <v>AMLA_VR_AML.04.04_C0020_01</v>
      </c>
      <c r="B256" s="157" t="s">
        <v>232</v>
      </c>
      <c r="C256" s="157" t="s">
        <v>82</v>
      </c>
      <c r="D256" s="157" t="s">
        <v>1550</v>
      </c>
      <c r="E256" s="160" t="str" cm="1">
        <f t="array" aca="1" ref="E256" ca="1">IF(C256="", INDIRECT("'"&amp;B256&amp;"'!B3"), INDEX(INDIRECT("'"&amp;B256&amp;"'!5:5"), COLUMN(INDIRECT("'"&amp;B256&amp;"'!"&amp;D256))))</f>
        <v>Respondent Client Transactions (Outgoing) - Value</v>
      </c>
      <c r="F256" s="157" t="s">
        <v>1772</v>
      </c>
      <c r="G256" s="157" t="s">
        <v>1773</v>
      </c>
      <c r="H256" s="158" t="s">
        <v>1819</v>
      </c>
      <c r="I256" s="157" t="str">
        <f>IF('AML.04.04'!$C$11&lt;0, $G256 &amp; ": " &amp; $H256, "OK")</f>
        <v>OK</v>
      </c>
      <c r="J256" s="157" t="str">
        <f>IF(LEN(IF(VLOOKUP("AMLA_VR_AML.04.04_C0020_01",$A:$I,9,0)&lt;&gt;"OK",CHAR(10)&amp;VLOOKUP("AMLA_VR_AML.04.04_C0020_01",$A:$I,9,0),"")&amp;IF(VLOOKUP("AMLA_VR_AML.04.04_C0020_02",$A:$I,9,0)&lt;&gt;"OK",CHAR(10)&amp;VLOOKUP("AMLA_VR_AML.04.04_C0020_02",$A:$I,9,0),""))=0,"OK",MID(IF(VLOOKUP("AMLA_VR_AML.04.04_C0020_01",$A:$I,9,0)&lt;&gt;"OK",CHAR(10)&amp;VLOOKUP("AMLA_VR_AML.04.04_C0020_01",$A:$I,9,0),"")&amp;IF(VLOOKUP("AMLA_VR_AML.04.04_C0020_02",$A:$I,9,0)&lt;&gt;"OK",CHAR(10)&amp;VLOOKUP("AMLA_VR_AML.04.04_C0020_02",$A:$I,9,0),""),2,3000))</f>
        <v>OK</v>
      </c>
      <c r="K256" s="157" t="s">
        <v>1775</v>
      </c>
    </row>
    <row r="257" spans="1:11">
      <c r="A257" s="159" t="str">
        <f>"AMLA_VR_" &amp; B257 &amp; "_" &amp; C257 &amp; "_" &amp; TEXT(COUNTIFS($B$2:B257, B257, $C$2:C257, C257), "00")</f>
        <v>AMLA_VR_AML.04.04_C0020_02</v>
      </c>
      <c r="B257" s="160" t="s">
        <v>232</v>
      </c>
      <c r="C257" s="160" t="s">
        <v>82</v>
      </c>
      <c r="D257" s="160" t="s">
        <v>1550</v>
      </c>
      <c r="E257" s="160" t="str" cm="1">
        <f t="array" aca="1" ref="E257" ca="1">IF(C257="", INDIRECT("'"&amp;B257&amp;"'!B3"), INDEX(INDIRECT("'"&amp;B257&amp;"'!5:5"), COLUMN(INDIRECT("'"&amp;B257&amp;"'!"&amp;D257))))</f>
        <v>Respondent Client Transactions (Outgoing) - Value</v>
      </c>
      <c r="F257" s="160" t="s">
        <v>1776</v>
      </c>
      <c r="G257" s="160" t="s">
        <v>1773</v>
      </c>
      <c r="H257" s="161" t="s">
        <v>1837</v>
      </c>
      <c r="I257" s="160" t="str">
        <f>IF(TRIM(SUBSTITUTE('AML.04.04'!$C$11&amp;"",CHAR(160),""))="","OK",IF(NOT(ISNUMBER('AML.04.04'!$C$11)),$G257&amp;": "&amp;$H257,"OK"))</f>
        <v>OK</v>
      </c>
      <c r="J257" s="160" t="str">
        <f>IF(LEN(IF(VLOOKUP("AMLA_VR_AML.04.04_C0020_01",$A:$I,9,0)&lt;&gt;"OK",CHAR(10)&amp;VLOOKUP("AMLA_VR_AML.04.04_C0020_01",$A:$I,9,0),"")&amp;IF(VLOOKUP("AMLA_VR_AML.04.04_C0020_02",$A:$I,9,0)&lt;&gt;"OK",CHAR(10)&amp;VLOOKUP("AMLA_VR_AML.04.04_C0020_02",$A:$I,9,0),""))=0,"OK",MID(IF(VLOOKUP("AMLA_VR_AML.04.04_C0020_01",$A:$I,9,0)&lt;&gt;"OK",CHAR(10)&amp;VLOOKUP("AMLA_VR_AML.04.04_C0020_01",$A:$I,9,0),"")&amp;IF(VLOOKUP("AMLA_VR_AML.04.04_C0020_02",$A:$I,9,0)&lt;&gt;"OK",CHAR(10)&amp;VLOOKUP("AMLA_VR_AML.04.04_C0020_02",$A:$I,9,0),""),2,3000))</f>
        <v>OK</v>
      </c>
      <c r="K257" s="160" t="s">
        <v>1775</v>
      </c>
    </row>
    <row r="258" spans="1:11">
      <c r="A258" s="159" t="str">
        <f>"AMLA_VR_" &amp; B258 &amp; "_" &amp; C258 &amp; "_" &amp; TEXT(COUNTIFS($B$2:B258, B258, $C$2:C258, C258), "00")</f>
        <v>AMLA_VR_AML.04.04_C0030_01</v>
      </c>
      <c r="B258" s="160" t="s">
        <v>232</v>
      </c>
      <c r="C258" s="160" t="s">
        <v>83</v>
      </c>
      <c r="D258" s="160" t="s">
        <v>1551</v>
      </c>
      <c r="E258" s="160" t="str" cm="1">
        <f t="array" aca="1" ref="E258" ca="1">IF(C258="", INDIRECT("'"&amp;B258&amp;"'!B3"), INDEX(INDIRECT("'"&amp;B258&amp;"'!5:5"), COLUMN(INDIRECT("'"&amp;B258&amp;"'!"&amp;D258))))</f>
        <v>Payable Through Accounts (Incoming) - Value</v>
      </c>
      <c r="F258" s="160" t="s">
        <v>1772</v>
      </c>
      <c r="G258" s="160" t="s">
        <v>1773</v>
      </c>
      <c r="H258" s="161" t="s">
        <v>1820</v>
      </c>
      <c r="I258" s="160" t="str">
        <f>IF('AML.04.04'!$D$11&lt;0, $G258 &amp; ": " &amp; $H258, "OK")</f>
        <v>OK</v>
      </c>
      <c r="J258" s="160" t="str">
        <f>IF(LEN(IF(VLOOKUP("AMLA_VR_AML.04.04_C0030_01",$A:$I,9,0)&lt;&gt;"OK",CHAR(10)&amp;VLOOKUP("AMLA_VR_AML.04.04_C0030_01",$A:$I,9,0),"")&amp;IF(VLOOKUP("AMLA_VR_AML.04.04_C0030_02",$A:$I,9,0)&lt;&gt;"OK",CHAR(10)&amp;VLOOKUP("AMLA_VR_AML.04.04_C0030_02",$A:$I,9,0),""))=0,"OK",MID(IF(VLOOKUP("AMLA_VR_AML.04.04_C0030_01",$A:$I,9,0)&lt;&gt;"OK",CHAR(10)&amp;VLOOKUP("AMLA_VR_AML.04.04_C0030_01",$A:$I,9,0),"")&amp;IF(VLOOKUP("AMLA_VR_AML.04.04_C0030_02",$A:$I,9,0)&lt;&gt;"OK",CHAR(10)&amp;VLOOKUP("AMLA_VR_AML.04.04_C0030_02",$A:$I,9,0),""),2,3000))</f>
        <v>OK</v>
      </c>
      <c r="K258" s="160" t="s">
        <v>1775</v>
      </c>
    </row>
    <row r="259" spans="1:11">
      <c r="A259" s="159" t="str">
        <f>"AMLA_VR_" &amp; B259 &amp; "_" &amp; C259 &amp; "_" &amp; TEXT(COUNTIFS($B$2:B259, B259, $C$2:C259, C259), "00")</f>
        <v>AMLA_VR_AML.04.04_C0030_02</v>
      </c>
      <c r="B259" s="157" t="s">
        <v>232</v>
      </c>
      <c r="C259" s="157" t="s">
        <v>83</v>
      </c>
      <c r="D259" s="157" t="s">
        <v>1551</v>
      </c>
      <c r="E259" s="160" t="str" cm="1">
        <f t="array" aca="1" ref="E259" ca="1">IF(C259="", INDIRECT("'"&amp;B259&amp;"'!B3"), INDEX(INDIRECT("'"&amp;B259&amp;"'!5:5"), COLUMN(INDIRECT("'"&amp;B259&amp;"'!"&amp;D259))))</f>
        <v>Payable Through Accounts (Incoming) - Value</v>
      </c>
      <c r="F259" s="157" t="s">
        <v>1776</v>
      </c>
      <c r="G259" s="157" t="s">
        <v>1773</v>
      </c>
      <c r="H259" s="158" t="s">
        <v>1837</v>
      </c>
      <c r="I259" s="157" t="str">
        <f>IF(TRIM(SUBSTITUTE('AML.04.04'!$D$11&amp;"",CHAR(160),""))="","OK",IF(NOT(ISNUMBER('AML.04.04'!$D$11)),$G259&amp;": "&amp;$H259,"OK"))</f>
        <v>OK</v>
      </c>
      <c r="J259" s="157" t="str">
        <f>IF(LEN(IF(VLOOKUP("AMLA_VR_AML.04.04_C0030_01",$A:$I,9,0)&lt;&gt;"OK",CHAR(10)&amp;VLOOKUP("AMLA_VR_AML.04.04_C0030_01",$A:$I,9,0),"")&amp;IF(VLOOKUP("AMLA_VR_AML.04.04_C0030_02",$A:$I,9,0)&lt;&gt;"OK",CHAR(10)&amp;VLOOKUP("AMLA_VR_AML.04.04_C0030_02",$A:$I,9,0),""))=0,"OK",MID(IF(VLOOKUP("AMLA_VR_AML.04.04_C0030_01",$A:$I,9,0)&lt;&gt;"OK",CHAR(10)&amp;VLOOKUP("AMLA_VR_AML.04.04_C0030_01",$A:$I,9,0),"")&amp;IF(VLOOKUP("AMLA_VR_AML.04.04_C0030_02",$A:$I,9,0)&lt;&gt;"OK",CHAR(10)&amp;VLOOKUP("AMLA_VR_AML.04.04_C0030_02",$A:$I,9,0),""),2,3000))</f>
        <v>OK</v>
      </c>
      <c r="K259" s="157" t="s">
        <v>1775</v>
      </c>
    </row>
    <row r="260" spans="1:11">
      <c r="A260" s="159" t="str">
        <f>"AMLA_VR_" &amp; B260 &amp; "_" &amp; C260 &amp; "_" &amp; TEXT(COUNTIFS($B$2:B260, B260, $C$2:C260, C260), "00")</f>
        <v>AMLA_VR_AML.04.04_C0040_01</v>
      </c>
      <c r="B260" s="157" t="s">
        <v>232</v>
      </c>
      <c r="C260" s="157" t="s">
        <v>84</v>
      </c>
      <c r="D260" s="157" t="s">
        <v>1552</v>
      </c>
      <c r="E260" s="160" t="str" cm="1">
        <f t="array" aca="1" ref="E260" ca="1">IF(C260="", INDIRECT("'"&amp;B260&amp;"'!B3"), INDEX(INDIRECT("'"&amp;B260&amp;"'!5:5"), COLUMN(INDIRECT("'"&amp;B260&amp;"'!"&amp;D260))))</f>
        <v>Payable Through Accounts (Outgoing) - Value</v>
      </c>
      <c r="F260" s="157" t="s">
        <v>1772</v>
      </c>
      <c r="G260" s="157" t="s">
        <v>1773</v>
      </c>
      <c r="H260" s="158" t="s">
        <v>1821</v>
      </c>
      <c r="I260" s="157" t="str">
        <f>IF('AML.04.04'!$E$11&lt;0, $G260 &amp; ": " &amp; $H260, "OK")</f>
        <v>OK</v>
      </c>
      <c r="J260" s="157" t="str">
        <f>IF(LEN(IF(VLOOKUP("AMLA_VR_AML.04.04_C0040_01",$A:$I,9,0)&lt;&gt;"OK",CHAR(10)&amp;VLOOKUP("AMLA_VR_AML.04.04_C0040_01",$A:$I,9,0),"")&amp;IF(VLOOKUP("AMLA_VR_AML.04.04_C0040_02",$A:$I,9,0)&lt;&gt;"OK",CHAR(10)&amp;VLOOKUP("AMLA_VR_AML.04.04_C0040_02",$A:$I,9,0),""))=0,"OK",MID(IF(VLOOKUP("AMLA_VR_AML.04.04_C0040_01",$A:$I,9,0)&lt;&gt;"OK",CHAR(10)&amp;VLOOKUP("AMLA_VR_AML.04.04_C0040_01",$A:$I,9,0),"")&amp;IF(VLOOKUP("AMLA_VR_AML.04.04_C0040_02",$A:$I,9,0)&lt;&gt;"OK",CHAR(10)&amp;VLOOKUP("AMLA_VR_AML.04.04_C0040_02",$A:$I,9,0),""),2,3000))</f>
        <v>OK</v>
      </c>
      <c r="K260" s="157" t="s">
        <v>1775</v>
      </c>
    </row>
    <row r="261" spans="1:11">
      <c r="A261" s="159" t="str">
        <f>"AMLA_VR_" &amp; B261 &amp; "_" &amp; C261 &amp; "_" &amp; TEXT(COUNTIFS($B$2:B261, B261, $C$2:C261, C261), "00")</f>
        <v>AMLA_VR_AML.04.04_C0040_02</v>
      </c>
      <c r="B261" s="160" t="s">
        <v>232</v>
      </c>
      <c r="C261" s="160" t="s">
        <v>84</v>
      </c>
      <c r="D261" s="160" t="s">
        <v>1552</v>
      </c>
      <c r="E261" s="160" t="str" cm="1">
        <f t="array" aca="1" ref="E261" ca="1">IF(C261="", INDIRECT("'"&amp;B261&amp;"'!B3"), INDEX(INDIRECT("'"&amp;B261&amp;"'!5:5"), COLUMN(INDIRECT("'"&amp;B261&amp;"'!"&amp;D261))))</f>
        <v>Payable Through Accounts (Outgoing) - Value</v>
      </c>
      <c r="F261" s="160" t="s">
        <v>1776</v>
      </c>
      <c r="G261" s="160" t="s">
        <v>1773</v>
      </c>
      <c r="H261" s="161" t="s">
        <v>1837</v>
      </c>
      <c r="I261" s="160" t="str">
        <f>IF(TRIM(SUBSTITUTE('AML.04.04'!$E$11&amp;"",CHAR(160),""))="","OK",IF(NOT(ISNUMBER('AML.04.04'!$E$11)),$G261&amp;": "&amp;$H261,"OK"))</f>
        <v>OK</v>
      </c>
      <c r="J261" s="160" t="str">
        <f>IF(LEN(IF(VLOOKUP("AMLA_VR_AML.04.04_C0040_01",$A:$I,9,0)&lt;&gt;"OK",CHAR(10)&amp;VLOOKUP("AMLA_VR_AML.04.04_C0040_01",$A:$I,9,0),"")&amp;IF(VLOOKUP("AMLA_VR_AML.04.04_C0040_02",$A:$I,9,0)&lt;&gt;"OK",CHAR(10)&amp;VLOOKUP("AMLA_VR_AML.04.04_C0040_02",$A:$I,9,0),""))=0,"OK",MID(IF(VLOOKUP("AMLA_VR_AML.04.04_C0040_01",$A:$I,9,0)&lt;&gt;"OK",CHAR(10)&amp;VLOOKUP("AMLA_VR_AML.04.04_C0040_01",$A:$I,9,0),"")&amp;IF(VLOOKUP("AMLA_VR_AML.04.04_C0040_02",$A:$I,9,0)&lt;&gt;"OK",CHAR(10)&amp;VLOOKUP("AMLA_VR_AML.04.04_C0040_02",$A:$I,9,0),""),2,3000))</f>
        <v>OK</v>
      </c>
      <c r="K261" s="160" t="s">
        <v>1775</v>
      </c>
    </row>
    <row r="262" spans="1:11">
      <c r="A262" s="159" t="str">
        <f>"AMLA_VR_" &amp; B262 &amp; "_" &amp; C262 &amp; "_" &amp; TEXT(COUNTIFS($B$2:B262, B262, $C$2:C262, C262), "00")</f>
        <v>AMLA_VR_AML.04.04_C0050_01</v>
      </c>
      <c r="B262" s="160" t="s">
        <v>232</v>
      </c>
      <c r="C262" s="160" t="s">
        <v>85</v>
      </c>
      <c r="D262" s="160" t="s">
        <v>1553</v>
      </c>
      <c r="E262" s="160" t="str" cm="1">
        <f t="array" aca="1" ref="E262" ca="1">IF(C262="", INDIRECT("'"&amp;B262&amp;"'!B3"), INDEX(INDIRECT("'"&amp;B262&amp;"'!5:5"), COLUMN(INDIRECT("'"&amp;B262&amp;"'!"&amp;D262))))</f>
        <v>Nested Accounts (Incoming) - Value</v>
      </c>
      <c r="F262" s="160" t="s">
        <v>1772</v>
      </c>
      <c r="G262" s="160" t="s">
        <v>1773</v>
      </c>
      <c r="H262" s="161" t="s">
        <v>1822</v>
      </c>
      <c r="I262" s="160" t="str">
        <f>IF('AML.04.04'!$F$11&lt;0, $G262 &amp; ": " &amp; $H262, "OK")</f>
        <v>OK</v>
      </c>
      <c r="J262" s="160" t="str">
        <f>IF(LEN(IF(VLOOKUP("AMLA_VR_AML.04.04_C0050_01",$A:$I,9,0)&lt;&gt;"OK",CHAR(10)&amp;VLOOKUP("AMLA_VR_AML.04.04_C0050_01",$A:$I,9,0),"")&amp;IF(VLOOKUP("AMLA_VR_AML.04.04_C0050_02",$A:$I,9,0)&lt;&gt;"OK",CHAR(10)&amp;VLOOKUP("AMLA_VR_AML.04.04_C0050_02",$A:$I,9,0),""))=0,"OK",MID(IF(VLOOKUP("AMLA_VR_AML.04.04_C0050_01",$A:$I,9,0)&lt;&gt;"OK",CHAR(10)&amp;VLOOKUP("AMLA_VR_AML.04.04_C0050_01",$A:$I,9,0),"")&amp;IF(VLOOKUP("AMLA_VR_AML.04.04_C0050_02",$A:$I,9,0)&lt;&gt;"OK",CHAR(10)&amp;VLOOKUP("AMLA_VR_AML.04.04_C0050_02",$A:$I,9,0),""),2,3000))</f>
        <v>OK</v>
      </c>
      <c r="K262" s="160" t="s">
        <v>1775</v>
      </c>
    </row>
    <row r="263" spans="1:11">
      <c r="A263" s="159" t="str">
        <f>"AMLA_VR_" &amp; B263 &amp; "_" &amp; C263 &amp; "_" &amp; TEXT(COUNTIFS($B$2:B263, B263, $C$2:C263, C263), "00")</f>
        <v>AMLA_VR_AML.04.04_C0050_02</v>
      </c>
      <c r="B263" s="157" t="s">
        <v>232</v>
      </c>
      <c r="C263" s="157" t="s">
        <v>85</v>
      </c>
      <c r="D263" s="157" t="s">
        <v>1553</v>
      </c>
      <c r="E263" s="160" t="str" cm="1">
        <f t="array" aca="1" ref="E263" ca="1">IF(C263="", INDIRECT("'"&amp;B263&amp;"'!B3"), INDEX(INDIRECT("'"&amp;B263&amp;"'!5:5"), COLUMN(INDIRECT("'"&amp;B263&amp;"'!"&amp;D263))))</f>
        <v>Nested Accounts (Incoming) - Value</v>
      </c>
      <c r="F263" s="157" t="s">
        <v>1776</v>
      </c>
      <c r="G263" s="157" t="s">
        <v>1773</v>
      </c>
      <c r="H263" s="158" t="s">
        <v>1837</v>
      </c>
      <c r="I263" s="171" t="str">
        <f>IF(TRIM(SUBSTITUTE('AML.04.04'!$F$11&amp;"",CHAR(160),""))="","OK",IF(NOT(ISNUMBER('AML.04.04'!$F$11)),$G263&amp;": "&amp;$H263,"OK"))</f>
        <v>OK</v>
      </c>
      <c r="J263" s="157" t="str">
        <f>IF(LEN(IF(VLOOKUP("AMLA_VR_AML.04.04_C0050_01",$A:$I,9,0)&lt;&gt;"OK",CHAR(10)&amp;VLOOKUP("AMLA_VR_AML.04.04_C0050_01",$A:$I,9,0),"")&amp;IF(VLOOKUP("AMLA_VR_AML.04.04_C0050_02",$A:$I,9,0)&lt;&gt;"OK",CHAR(10)&amp;VLOOKUP("AMLA_VR_AML.04.04_C0050_02",$A:$I,9,0),""))=0,"OK",MID(IF(VLOOKUP("AMLA_VR_AML.04.04_C0050_01",$A:$I,9,0)&lt;&gt;"OK",CHAR(10)&amp;VLOOKUP("AMLA_VR_AML.04.04_C0050_01",$A:$I,9,0),"")&amp;IF(VLOOKUP("AMLA_VR_AML.04.04_C0050_02",$A:$I,9,0)&lt;&gt;"OK",CHAR(10)&amp;VLOOKUP("AMLA_VR_AML.04.04_C0050_02",$A:$I,9,0),""),2,3000))</f>
        <v>OK</v>
      </c>
      <c r="K263" s="157" t="s">
        <v>1775</v>
      </c>
    </row>
    <row r="264" spans="1:11">
      <c r="A264" s="159" t="str">
        <f>"AMLA_VR_" &amp; B264 &amp; "_" &amp; C264 &amp; "_" &amp; TEXT(COUNTIFS($B$2:B264, B264, $C$2:C264, C264), "00")</f>
        <v>AMLA_VR_AML.04.04_C0060_01</v>
      </c>
      <c r="B264" s="157" t="s">
        <v>232</v>
      </c>
      <c r="C264" s="157" t="s">
        <v>86</v>
      </c>
      <c r="D264" s="157" t="s">
        <v>1554</v>
      </c>
      <c r="E264" s="160" t="str" cm="1">
        <f t="array" aca="1" ref="E264" ca="1">IF(C264="", INDIRECT("'"&amp;B264&amp;"'!B3"), INDEX(INDIRECT("'"&amp;B264&amp;"'!5:5"), COLUMN(INDIRECT("'"&amp;B264&amp;"'!"&amp;D264))))</f>
        <v>Nested Accounts (Outgoing) - Value</v>
      </c>
      <c r="F264" s="157" t="s">
        <v>1772</v>
      </c>
      <c r="G264" s="157" t="s">
        <v>1773</v>
      </c>
      <c r="H264" s="158" t="s">
        <v>1823</v>
      </c>
      <c r="I264" s="171" t="str">
        <f>IF('AML.04.04'!$G$11&lt;0, $G264 &amp; ": " &amp; $H264, "OK")</f>
        <v>OK</v>
      </c>
      <c r="J264" s="157" t="str">
        <f>IF(LEN(IF(VLOOKUP("AMLA_VR_AML.04.04_C0060_01",$A:$I,9,0)&lt;&gt;"OK",CHAR(10)&amp;VLOOKUP("AMLA_VR_AML.04.04_C0060_01",$A:$I,9,0),"")&amp;IF(VLOOKUP("AMLA_VR_AML.04.04_C0060_02",$A:$I,9,0)&lt;&gt;"OK",CHAR(10)&amp;VLOOKUP("AMLA_VR_AML.04.04_C0060_02",$A:$I,9,0),""))=0,"OK",MID(IF(VLOOKUP("AMLA_VR_AML.04.04_C0060_01",$A:$I,9,0)&lt;&gt;"OK",CHAR(10)&amp;VLOOKUP("AMLA_VR_AML.04.04_C0060_01",$A:$I,9,0),"")&amp;IF(VLOOKUP("AMLA_VR_AML.04.04_C0060_02",$A:$I,9,0)&lt;&gt;"OK",CHAR(10)&amp;VLOOKUP("AMLA_VR_AML.04.04_C0060_02",$A:$I,9,0),""),2,3000))</f>
        <v>OK</v>
      </c>
      <c r="K264" s="157" t="s">
        <v>1775</v>
      </c>
    </row>
    <row r="265" spans="1:11">
      <c r="A265" s="159" t="str">
        <f>"AMLA_VR_" &amp; B265 &amp; "_" &amp; C265 &amp; "_" &amp; TEXT(COUNTIFS($B$2:B265, B265, $C$2:C265, C265), "00")</f>
        <v>AMLA_VR_AML.04.04_C0060_02</v>
      </c>
      <c r="B265" s="160" t="s">
        <v>232</v>
      </c>
      <c r="C265" s="160" t="s">
        <v>86</v>
      </c>
      <c r="D265" s="160" t="s">
        <v>1554</v>
      </c>
      <c r="E265" s="160" t="str" cm="1">
        <f t="array" aca="1" ref="E265" ca="1">IF(C265="", INDIRECT("'"&amp;B265&amp;"'!B3"), INDEX(INDIRECT("'"&amp;B265&amp;"'!5:5"), COLUMN(INDIRECT("'"&amp;B265&amp;"'!"&amp;D265))))</f>
        <v>Nested Accounts (Outgoing) - Value</v>
      </c>
      <c r="F265" s="160" t="s">
        <v>1776</v>
      </c>
      <c r="G265" s="160" t="s">
        <v>1773</v>
      </c>
      <c r="H265" s="161" t="s">
        <v>1837</v>
      </c>
      <c r="I265" s="57" t="str">
        <f>IF(TRIM(SUBSTITUTE('AML.04.04'!$G$11&amp;"",CHAR(160),""))="","OK",IF(NOT(ISNUMBER('AML.04.04'!$G$11)),$G265&amp;": "&amp;$H265,"OK"))</f>
        <v>OK</v>
      </c>
      <c r="J265" s="160" t="str">
        <f>IF(LEN(IF(VLOOKUP("AMLA_VR_AML.04.04_C0060_01",$A:$I,9,0)&lt;&gt;"OK",CHAR(10)&amp;VLOOKUP("AMLA_VR_AML.04.04_C0060_01",$A:$I,9,0),"")&amp;IF(VLOOKUP("AMLA_VR_AML.04.04_C0060_02",$A:$I,9,0)&lt;&gt;"OK",CHAR(10)&amp;VLOOKUP("AMLA_VR_AML.04.04_C0060_02",$A:$I,9,0),""))=0,"OK",MID(IF(VLOOKUP("AMLA_VR_AML.04.04_C0060_01",$A:$I,9,0)&lt;&gt;"OK",CHAR(10)&amp;VLOOKUP("AMLA_VR_AML.04.04_C0060_01",$A:$I,9,0),"")&amp;IF(VLOOKUP("AMLA_VR_AML.04.04_C0060_02",$A:$I,9,0)&lt;&gt;"OK",CHAR(10)&amp;VLOOKUP("AMLA_VR_AML.04.04_C0060_02",$A:$I,9,0),""),2,3000))</f>
        <v>OK</v>
      </c>
      <c r="K265" s="160" t="s">
        <v>1775</v>
      </c>
    </row>
    <row r="266" spans="1:11">
      <c r="A266" s="159" t="str">
        <f>"AMLA_VR_" &amp; B266 &amp; "_" &amp; C266 &amp; "_" &amp; TEXT(COUNTIFS($B$2:B266, B266, $C$2:C266, C266), "00")</f>
        <v>AMLA_VR_AML.04.05_C0010_01</v>
      </c>
      <c r="B266" s="160" t="s">
        <v>240</v>
      </c>
      <c r="C266" s="160" t="s">
        <v>81</v>
      </c>
      <c r="D266" s="160" t="s">
        <v>1549</v>
      </c>
      <c r="E266" s="160" t="str" cm="1">
        <f t="array" aca="1" ref="E266" ca="1">IF(C266="", INDIRECT("'"&amp;B266&amp;"'!B3"), INDEX(INDIRECT("'"&amp;B266&amp;"'!5:5"), COLUMN(INDIRECT("'"&amp;B266&amp;"'!"&amp;D266))))</f>
        <v>Trade Finance Customers</v>
      </c>
      <c r="F266" s="160" t="s">
        <v>1772</v>
      </c>
      <c r="G266" s="160" t="s">
        <v>1773</v>
      </c>
      <c r="H266" s="161" t="s">
        <v>1815</v>
      </c>
      <c r="I266" s="160" t="str">
        <f>IF('AML.04.05'!$B$11&lt;0, $G266 &amp; ": " &amp; $H266, "OK")</f>
        <v>OK</v>
      </c>
      <c r="J266" s="160" t="str">
        <f>IF(LEN(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0,"OK",MID(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2,3000))</f>
        <v>OK</v>
      </c>
      <c r="K266" s="160" t="s">
        <v>1775</v>
      </c>
    </row>
    <row r="267" spans="1:11">
      <c r="A267" s="159" t="str">
        <f>"AMLA_VR_" &amp; B267 &amp; "_" &amp; C267 &amp; "_" &amp; TEXT(COUNTIFS($B$2:B267, B267, $C$2:C267, C267), "00")</f>
        <v>AMLA_VR_AML.04.05_C0010_02</v>
      </c>
      <c r="B267" s="157" t="s">
        <v>240</v>
      </c>
      <c r="C267" s="157" t="s">
        <v>81</v>
      </c>
      <c r="D267" s="157" t="s">
        <v>1549</v>
      </c>
      <c r="E267" s="160" t="str" cm="1">
        <f t="array" aca="1" ref="E267" ca="1">IF(C267="", INDIRECT("'"&amp;B267&amp;"'!B3"), INDEX(INDIRECT("'"&amp;B267&amp;"'!5:5"), COLUMN(INDIRECT("'"&amp;B267&amp;"'!"&amp;D267))))</f>
        <v>Trade Finance Customers</v>
      </c>
      <c r="F267" s="157" t="s">
        <v>1772</v>
      </c>
      <c r="G267" s="157" t="s">
        <v>1773</v>
      </c>
      <c r="H267" s="158" t="s">
        <v>1861</v>
      </c>
      <c r="I267" s="171" t="str">
        <f>IF('AML.04.05'!$B$11 &gt; 'AML.02.01'!$B$11, $G267 &amp; ": " &amp; $H267, "OK")</f>
        <v>OK</v>
      </c>
      <c r="J267" s="157" t="str">
        <f>IF(LEN(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0,"OK",MID(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2,3000))</f>
        <v>OK</v>
      </c>
      <c r="K267" s="157" t="s">
        <v>1775</v>
      </c>
    </row>
    <row r="268" spans="1:11">
      <c r="A268" s="159" t="str">
        <f>"AMLA_VR_" &amp; B268 &amp; "_" &amp; C268 &amp; "_" &amp; TEXT(COUNTIFS($B$2:B268, B268, $C$2:C268, C268), "00")</f>
        <v>AMLA_VR_AML.04.05_C0010_03</v>
      </c>
      <c r="B268" s="157" t="s">
        <v>240</v>
      </c>
      <c r="C268" s="157" t="s">
        <v>81</v>
      </c>
      <c r="D268" s="157" t="s">
        <v>1549</v>
      </c>
      <c r="E268" s="160" t="str" cm="1">
        <f t="array" aca="1" ref="E268" ca="1">IF(C268="", INDIRECT("'"&amp;B268&amp;"'!B3"), INDEX(INDIRECT("'"&amp;B268&amp;"'!5:5"), COLUMN(INDIRECT("'"&amp;B268&amp;"'!"&amp;D268))))</f>
        <v>Trade Finance Customers</v>
      </c>
      <c r="F268" s="157" t="s">
        <v>1776</v>
      </c>
      <c r="G268" s="157" t="s">
        <v>1773</v>
      </c>
      <c r="H268" s="158" t="s">
        <v>1816</v>
      </c>
      <c r="I268" s="157" t="str">
        <f>IF(TRIM(SUBSTITUTE('AML.04.05'!$B$11&amp;"",CHAR(160),""))="","OK",IF(OR(NOT(ISNUMBER('AML.04.05'!$B$11)),IFERROR(INT('AML.04.05'!$B$11)&lt;&gt;'AML.04.05'!$B$11,TRUE)),$G268&amp;": "&amp;$H268,"OK"))</f>
        <v>OK</v>
      </c>
      <c r="J268" s="157" t="str">
        <f>IF(LEN(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0,"OK",MID(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2,3000))</f>
        <v>OK</v>
      </c>
      <c r="K268" s="157" t="s">
        <v>1775</v>
      </c>
    </row>
    <row r="269" spans="1:11">
      <c r="A269" s="159" t="str">
        <f>"AMLA_VR_" &amp; B269 &amp; "_" &amp; C269 &amp; "_" &amp; TEXT(COUNTIFS($B$2:B269, B269, $C$2:C269, C269), "00")</f>
        <v>AMLA_VR_AML.04.05_C0010_04</v>
      </c>
      <c r="B269" s="157" t="s">
        <v>240</v>
      </c>
      <c r="C269" s="157" t="s">
        <v>81</v>
      </c>
      <c r="D269" s="157" t="s">
        <v>1549</v>
      </c>
      <c r="E269" s="160" t="str" cm="1">
        <f t="array" aca="1" ref="E269" ca="1">IF(C269="", INDIRECT("'"&amp;B269&amp;"'!B3"), INDEX(INDIRECT("'"&amp;B269&amp;"'!5:5"), COLUMN(INDIRECT("'"&amp;B269&amp;"'!"&amp;D269))))</f>
        <v>Trade Finance Customers</v>
      </c>
      <c r="F269" s="157" t="s">
        <v>1772</v>
      </c>
      <c r="G269" s="157" t="s">
        <v>1813</v>
      </c>
      <c r="H269" s="158" t="s">
        <v>1842</v>
      </c>
      <c r="I269" s="171" t="str">
        <f>IF(AND('AML.04.05'!$B$11=0, 'AML.04.05'!$C$11&gt;0), $G269 &amp; ": " &amp; $H269, "OK")</f>
        <v>OK</v>
      </c>
      <c r="J269" s="157" t="str">
        <f>IF(LEN(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0,"OK",MID(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2,3000))</f>
        <v>OK</v>
      </c>
      <c r="K269" s="157" t="s">
        <v>1775</v>
      </c>
    </row>
    <row r="270" spans="1:11">
      <c r="A270" s="159" t="str">
        <f>"AMLA_VR_" &amp; B270 &amp; "_" &amp; C270 &amp; "_" &amp; TEXT(COUNTIFS($B$2:B270, B270, $C$2:C270, C270), "00")</f>
        <v>AMLA_VR_AML.04.05_C0010_05</v>
      </c>
      <c r="B270" s="160" t="s">
        <v>240</v>
      </c>
      <c r="C270" s="160" t="s">
        <v>81</v>
      </c>
      <c r="D270" s="160" t="s">
        <v>1549</v>
      </c>
      <c r="E270" s="160" t="str" cm="1">
        <f t="array" aca="1" ref="E270" ca="1">IF(C270="", INDIRECT("'"&amp;B270&amp;"'!B3"), INDEX(INDIRECT("'"&amp;B270&amp;"'!5:5"), COLUMN(INDIRECT("'"&amp;B270&amp;"'!"&amp;D270))))</f>
        <v>Trade Finance Customers</v>
      </c>
      <c r="F270" s="160" t="s">
        <v>1772</v>
      </c>
      <c r="G270" s="160" t="s">
        <v>1813</v>
      </c>
      <c r="H270" s="161" t="s">
        <v>1843</v>
      </c>
      <c r="I270" s="57" t="str">
        <f>IF(AND('AML.04.05'!$B$11=0, 'AML.04.05'!$E$11&gt;0), $G270 &amp; ": " &amp; $H270, "OK")</f>
        <v>OK</v>
      </c>
      <c r="J270" s="160" t="str">
        <f>IF(LEN(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0,"OK",MID(IF(VLOOKUP("AMLA_VR_AML.04.05_C0010_01",$A:$I,9,0)&lt;&gt;"OK",CHAR(10)&amp;VLOOKUP("AMLA_VR_AML.04.05_C0010_01",$A:$I,9,0),"")&amp;IF(VLOOKUP("AMLA_VR_AML.04.05_C0010_02",$A:$I,9,0)&lt;&gt;"OK",CHAR(10)&amp;VLOOKUP("AMLA_VR_AML.04.05_C0010_02",$A:$I,9,0),"")&amp;IF(VLOOKUP("AMLA_VR_AML.04.05_C0010_03",$A:$I,9,0)&lt;&gt;"OK",CHAR(10)&amp;VLOOKUP("AMLA_VR_AML.04.05_C0010_03",$A:$I,9,0),"")&amp;IF(VLOOKUP("AMLA_VR_AML.04.05_C0010_04",$A:$I,9,0)&lt;&gt;"OK",CHAR(10)&amp;VLOOKUP("AMLA_VR_AML.04.05_C0010_04",$A:$I,9,0),"")&amp;IF(VLOOKUP("AMLA_VR_AML.04.05_C0010_05",$A:$I,9,0)&lt;&gt;"OK",CHAR(10)&amp;VLOOKUP("AMLA_VR_AML.04.05_C0010_05",$A:$I,9,0),""),2,3000))</f>
        <v>OK</v>
      </c>
      <c r="K270" s="160" t="s">
        <v>1775</v>
      </c>
    </row>
    <row r="271" spans="1:11">
      <c r="A271" s="159" t="str">
        <f>"AMLA_VR_" &amp; B271 &amp; "_" &amp; C271 &amp; "_" &amp; TEXT(COUNTIFS($B$2:B271, B271, $C$2:C271, C271), "00")</f>
        <v>AMLA_VR_AML.04.05_C0020_01</v>
      </c>
      <c r="B271" s="160" t="s">
        <v>240</v>
      </c>
      <c r="C271" s="160" t="s">
        <v>82</v>
      </c>
      <c r="D271" s="160" t="s">
        <v>1550</v>
      </c>
      <c r="E271" s="160" t="str" cm="1">
        <f t="array" aca="1" ref="E271" ca="1">IF(C271="", INDIRECT("'"&amp;B271&amp;"'!B3"), INDEX(INDIRECT("'"&amp;B271&amp;"'!5:5"), COLUMN(INDIRECT("'"&amp;B271&amp;"'!"&amp;D271))))</f>
        <v>Trade Finance Transactions (Incoming) - Number</v>
      </c>
      <c r="F271" s="160" t="s">
        <v>1772</v>
      </c>
      <c r="G271" s="160" t="s">
        <v>1773</v>
      </c>
      <c r="H271" s="161" t="s">
        <v>1819</v>
      </c>
      <c r="I271" s="57" t="str">
        <f>IF('AML.04.05'!$C$11&lt;0, $G271 &amp; ": " &amp; $H271, "OK")</f>
        <v>OK</v>
      </c>
      <c r="J271" s="160" t="str">
        <f>IF(LEN(IF(VLOOKUP("AMLA_VR_AML.04.05_C0020_01",$A:$I,9,0)&lt;&gt;"OK",CHAR(10)&amp;VLOOKUP("AMLA_VR_AML.04.05_C0020_01",$A:$I,9,0),"")&amp;IF(VLOOKUP("AMLA_VR_AML.04.05_C0020_02",$A:$I,9,0)&lt;&gt;"OK",CHAR(10)&amp;VLOOKUP("AMLA_VR_AML.04.05_C0020_02",$A:$I,9,0),"")&amp;IF(VLOOKUP("AMLA_VR_AML.04.05_C0020_03",$A:$I,9,0)&lt;&gt;"OK",CHAR(10)&amp;VLOOKUP("AMLA_VR_AML.04.05_C0020_03",$A:$I,9,0),""))=0,"OK",MID(IF(VLOOKUP("AMLA_VR_AML.04.05_C0020_01",$A:$I,9,0)&lt;&gt;"OK",CHAR(10)&amp;VLOOKUP("AMLA_VR_AML.04.05_C0020_01",$A:$I,9,0),"")&amp;IF(VLOOKUP("AMLA_VR_AML.04.05_C0020_02",$A:$I,9,0)&lt;&gt;"OK",CHAR(10)&amp;VLOOKUP("AMLA_VR_AML.04.05_C0020_02",$A:$I,9,0),"")&amp;IF(VLOOKUP("AMLA_VR_AML.04.05_C0020_03",$A:$I,9,0)&lt;&gt;"OK",CHAR(10)&amp;VLOOKUP("AMLA_VR_AML.04.05_C0020_03",$A:$I,9,0),""),2,3000))</f>
        <v>OK</v>
      </c>
      <c r="K271" s="160" t="s">
        <v>1775</v>
      </c>
    </row>
    <row r="272" spans="1:11">
      <c r="A272" s="159" t="str">
        <f>"AMLA_VR_" &amp; B272 &amp; "_" &amp; C272 &amp; "_" &amp; TEXT(COUNTIFS($B$2:B272, B272, $C$2:C272, C272), "00")</f>
        <v>AMLA_VR_AML.04.05_C0020_02</v>
      </c>
      <c r="B272" s="160" t="s">
        <v>240</v>
      </c>
      <c r="C272" s="160" t="s">
        <v>82</v>
      </c>
      <c r="D272" s="160" t="s">
        <v>1550</v>
      </c>
      <c r="E272" s="160" t="str" cm="1">
        <f t="array" aca="1" ref="E272" ca="1">IF(C272="", INDIRECT("'"&amp;B272&amp;"'!B3"), INDEX(INDIRECT("'"&amp;B272&amp;"'!5:5"), COLUMN(INDIRECT("'"&amp;B272&amp;"'!"&amp;D272))))</f>
        <v>Trade Finance Transactions (Incoming) - Number</v>
      </c>
      <c r="F272" s="160" t="s">
        <v>1776</v>
      </c>
      <c r="G272" s="160" t="s">
        <v>1773</v>
      </c>
      <c r="H272" s="161" t="s">
        <v>1816</v>
      </c>
      <c r="I272" s="57" t="str">
        <f>IF(TRIM(SUBSTITUTE('AML.04.05'!$C$11&amp;"",CHAR(160),""))="","OK",IF(OR(NOT(ISNUMBER('AML.04.05'!$C$11)),IFERROR(INT('AML.04.05'!$C$11)&lt;&gt;'AML.04.05'!$C$11,TRUE)),$G272&amp;": "&amp;$H272,"OK"))</f>
        <v>OK</v>
      </c>
      <c r="J272" s="160" t="str">
        <f>IF(LEN(IF(VLOOKUP("AMLA_VR_AML.04.05_C0020_01",$A:$I,9,0)&lt;&gt;"OK",CHAR(10)&amp;VLOOKUP("AMLA_VR_AML.04.05_C0020_01",$A:$I,9,0),"")&amp;IF(VLOOKUP("AMLA_VR_AML.04.05_C0020_02",$A:$I,9,0)&lt;&gt;"OK",CHAR(10)&amp;VLOOKUP("AMLA_VR_AML.04.05_C0020_02",$A:$I,9,0),"")&amp;IF(VLOOKUP("AMLA_VR_AML.04.05_C0020_03",$A:$I,9,0)&lt;&gt;"OK",CHAR(10)&amp;VLOOKUP("AMLA_VR_AML.04.05_C0020_03",$A:$I,9,0),""))=0,"OK",MID(IF(VLOOKUP("AMLA_VR_AML.04.05_C0020_01",$A:$I,9,0)&lt;&gt;"OK",CHAR(10)&amp;VLOOKUP("AMLA_VR_AML.04.05_C0020_01",$A:$I,9,0),"")&amp;IF(VLOOKUP("AMLA_VR_AML.04.05_C0020_02",$A:$I,9,0)&lt;&gt;"OK",CHAR(10)&amp;VLOOKUP("AMLA_VR_AML.04.05_C0020_02",$A:$I,9,0),"")&amp;IF(VLOOKUP("AMLA_VR_AML.04.05_C0020_03",$A:$I,9,0)&lt;&gt;"OK",CHAR(10)&amp;VLOOKUP("AMLA_VR_AML.04.05_C0020_03",$A:$I,9,0),""),2,3000))</f>
        <v>OK</v>
      </c>
      <c r="K272" s="160" t="s">
        <v>1775</v>
      </c>
    </row>
    <row r="273" spans="1:11">
      <c r="A273" s="159" t="str">
        <f>"AMLA_VR_" &amp; B273 &amp; "_" &amp; C273 &amp; "_" &amp; TEXT(COUNTIFS($B$2:B273, B273, $C$2:C273, C273), "00")</f>
        <v>AMLA_VR_AML.04.05_C0020_03</v>
      </c>
      <c r="B273" s="157" t="s">
        <v>240</v>
      </c>
      <c r="C273" s="157" t="s">
        <v>82</v>
      </c>
      <c r="D273" s="157" t="s">
        <v>1550</v>
      </c>
      <c r="E273" s="160" t="str" cm="1">
        <f t="array" aca="1" ref="E273" ca="1">IF(C273="", INDIRECT("'"&amp;B273&amp;"'!B3"), INDEX(INDIRECT("'"&amp;B273&amp;"'!5:5"), COLUMN(INDIRECT("'"&amp;B273&amp;"'!"&amp;D273))))</f>
        <v>Trade Finance Transactions (Incoming) - Number</v>
      </c>
      <c r="F273" s="157" t="s">
        <v>1772</v>
      </c>
      <c r="G273" s="157" t="s">
        <v>1813</v>
      </c>
      <c r="H273" s="158" t="s">
        <v>1858</v>
      </c>
      <c r="I273" s="171" t="str">
        <f>IF(AND('AML.04.05'!$C$11=0, 'AML.04.05'!$E$11&gt;0), $G273 &amp; ": " &amp; $H273, "OK")</f>
        <v>OK</v>
      </c>
      <c r="J273" s="157" t="str">
        <f>IF(LEN(IF(VLOOKUP("AMLA_VR_AML.04.05_C0020_01",$A:$I,9,0)&lt;&gt;"OK",CHAR(10)&amp;VLOOKUP("AMLA_VR_AML.04.05_C0020_01",$A:$I,9,0),"")&amp;IF(VLOOKUP("AMLA_VR_AML.04.05_C0020_02",$A:$I,9,0)&lt;&gt;"OK",CHAR(10)&amp;VLOOKUP("AMLA_VR_AML.04.05_C0020_02",$A:$I,9,0),"")&amp;IF(VLOOKUP("AMLA_VR_AML.04.05_C0020_03",$A:$I,9,0)&lt;&gt;"OK",CHAR(10)&amp;VLOOKUP("AMLA_VR_AML.04.05_C0020_03",$A:$I,9,0),""))=0,"OK",MID(IF(VLOOKUP("AMLA_VR_AML.04.05_C0020_01",$A:$I,9,0)&lt;&gt;"OK",CHAR(10)&amp;VLOOKUP("AMLA_VR_AML.04.05_C0020_01",$A:$I,9,0),"")&amp;IF(VLOOKUP("AMLA_VR_AML.04.05_C0020_02",$A:$I,9,0)&lt;&gt;"OK",CHAR(10)&amp;VLOOKUP("AMLA_VR_AML.04.05_C0020_02",$A:$I,9,0),"")&amp;IF(VLOOKUP("AMLA_VR_AML.04.05_C0020_03",$A:$I,9,0)&lt;&gt;"OK",CHAR(10)&amp;VLOOKUP("AMLA_VR_AML.04.05_C0020_03",$A:$I,9,0),""),2,3000))</f>
        <v>OK</v>
      </c>
      <c r="K273" s="157" t="s">
        <v>1775</v>
      </c>
    </row>
    <row r="274" spans="1:11">
      <c r="A274" s="159" t="str">
        <f>"AMLA_VR_" &amp; B274 &amp; "_" &amp; C274 &amp; "_" &amp; TEXT(COUNTIFS($B$2:B274, B274, $C$2:C274, C274), "00")</f>
        <v>AMLA_VR_AML.04.05_C0030_01</v>
      </c>
      <c r="B274" s="160" t="s">
        <v>240</v>
      </c>
      <c r="C274" s="160" t="s">
        <v>83</v>
      </c>
      <c r="D274" s="160" t="s">
        <v>1551</v>
      </c>
      <c r="E274" s="160" t="str" cm="1">
        <f t="array" aca="1" ref="E274" ca="1">IF(C274="", INDIRECT("'"&amp;B274&amp;"'!B3"), INDEX(INDIRECT("'"&amp;B274&amp;"'!5:5"), COLUMN(INDIRECT("'"&amp;B274&amp;"'!"&amp;D274))))</f>
        <v>Trade Finance Transactions (Outgoing) - Number</v>
      </c>
      <c r="F274" s="160" t="s">
        <v>1772</v>
      </c>
      <c r="G274" s="160" t="s">
        <v>1773</v>
      </c>
      <c r="H274" s="161" t="s">
        <v>1820</v>
      </c>
      <c r="I274" s="57" t="str">
        <f>IF('AML.04.05'!$D$11&lt;0, $G274 &amp; ": " &amp; $H274, "OK")</f>
        <v>OK</v>
      </c>
      <c r="J274" s="160" t="str">
        <f>IF(LEN(IF(VLOOKUP("AMLA_VR_AML.04.05_C0030_01",$A:$I,9,0)&lt;&gt;"OK",CHAR(10)&amp;VLOOKUP("AMLA_VR_AML.04.05_C0030_01",$A:$I,9,0),"")&amp;IF(VLOOKUP("AMLA_VR_AML.04.05_C0030_02",$A:$I,9,0)&lt;&gt;"OK",CHAR(10)&amp;VLOOKUP("AMLA_VR_AML.04.05_C0030_02",$A:$I,9,0),"")&amp;IF(VLOOKUP("AMLA_VR_AML.04.05_C0030_03",$A:$I,9,0)&lt;&gt;"OK",CHAR(10)&amp;VLOOKUP("AMLA_VR_AML.04.05_C0030_03",$A:$I,9,0),""))=0,"OK",MID(IF(VLOOKUP("AMLA_VR_AML.04.05_C0030_01",$A:$I,9,0)&lt;&gt;"OK",CHAR(10)&amp;VLOOKUP("AMLA_VR_AML.04.05_C0030_01",$A:$I,9,0),"")&amp;IF(VLOOKUP("AMLA_VR_AML.04.05_C0030_02",$A:$I,9,0)&lt;&gt;"OK",CHAR(10)&amp;VLOOKUP("AMLA_VR_AML.04.05_C0030_02",$A:$I,9,0),"")&amp;IF(VLOOKUP("AMLA_VR_AML.04.05_C0030_03",$A:$I,9,0)&lt;&gt;"OK",CHAR(10)&amp;VLOOKUP("AMLA_VR_AML.04.05_C0030_03",$A:$I,9,0),""),2,3000))</f>
        <v>OK</v>
      </c>
      <c r="K274" s="160" t="s">
        <v>1775</v>
      </c>
    </row>
    <row r="275" spans="1:11">
      <c r="A275" s="159" t="str">
        <f>"AMLA_VR_" &amp; B275 &amp; "_" &amp; C275 &amp; "_" &amp; TEXT(COUNTIFS($B$2:B275, B275, $C$2:C275, C275), "00")</f>
        <v>AMLA_VR_AML.04.05_C0030_02</v>
      </c>
      <c r="B275" s="157" t="s">
        <v>240</v>
      </c>
      <c r="C275" s="157" t="s">
        <v>83</v>
      </c>
      <c r="D275" s="157" t="s">
        <v>1551</v>
      </c>
      <c r="E275" s="160" t="str" cm="1">
        <f t="array" aca="1" ref="E275" ca="1">IF(C275="", INDIRECT("'"&amp;B275&amp;"'!B3"), INDEX(INDIRECT("'"&amp;B275&amp;"'!5:5"), COLUMN(INDIRECT("'"&amp;B275&amp;"'!"&amp;D275))))</f>
        <v>Trade Finance Transactions (Outgoing) - Number</v>
      </c>
      <c r="F275" s="157" t="s">
        <v>1776</v>
      </c>
      <c r="G275" s="157" t="s">
        <v>1773</v>
      </c>
      <c r="H275" s="158" t="s">
        <v>1816</v>
      </c>
      <c r="I275" s="171" t="str">
        <f>IF(TRIM(SUBSTITUTE('AML.04.05'!$D$11&amp;"",CHAR(160),""))="","OK",IF(OR(NOT(ISNUMBER('AML.04.05'!$D$11)),IFERROR(INT('AML.04.05'!$D$11)&lt;&gt;'AML.04.05'!$D$11,TRUE)),$G275&amp;": "&amp;$H275,"OK"))</f>
        <v>OK</v>
      </c>
      <c r="J275" s="157" t="str">
        <f>IF(LEN(IF(VLOOKUP("AMLA_VR_AML.04.05_C0030_01",$A:$I,9,0)&lt;&gt;"OK",CHAR(10)&amp;VLOOKUP("AMLA_VR_AML.04.05_C0030_01",$A:$I,9,0),"")&amp;IF(VLOOKUP("AMLA_VR_AML.04.05_C0030_02",$A:$I,9,0)&lt;&gt;"OK",CHAR(10)&amp;VLOOKUP("AMLA_VR_AML.04.05_C0030_02",$A:$I,9,0),"")&amp;IF(VLOOKUP("AMLA_VR_AML.04.05_C0030_03",$A:$I,9,0)&lt;&gt;"OK",CHAR(10)&amp;VLOOKUP("AMLA_VR_AML.04.05_C0030_03",$A:$I,9,0),""))=0,"OK",MID(IF(VLOOKUP("AMLA_VR_AML.04.05_C0030_01",$A:$I,9,0)&lt;&gt;"OK",CHAR(10)&amp;VLOOKUP("AMLA_VR_AML.04.05_C0030_01",$A:$I,9,0),"")&amp;IF(VLOOKUP("AMLA_VR_AML.04.05_C0030_02",$A:$I,9,0)&lt;&gt;"OK",CHAR(10)&amp;VLOOKUP("AMLA_VR_AML.04.05_C0030_02",$A:$I,9,0),"")&amp;IF(VLOOKUP("AMLA_VR_AML.04.05_C0030_03",$A:$I,9,0)&lt;&gt;"OK",CHAR(10)&amp;VLOOKUP("AMLA_VR_AML.04.05_C0030_03",$A:$I,9,0),""),2,3000))</f>
        <v>OK</v>
      </c>
      <c r="K275" s="157" t="s">
        <v>1775</v>
      </c>
    </row>
    <row r="276" spans="1:11">
      <c r="A276" s="159" t="str">
        <f>"AMLA_VR_" &amp; B276 &amp; "_" &amp; C276 &amp; "_" &amp; TEXT(COUNTIFS($B$2:B276, B276, $C$2:C276, C276), "00")</f>
        <v>AMLA_VR_AML.04.05_C0030_03</v>
      </c>
      <c r="B276" s="157" t="s">
        <v>240</v>
      </c>
      <c r="C276" s="157" t="s">
        <v>83</v>
      </c>
      <c r="D276" s="157" t="s">
        <v>1551</v>
      </c>
      <c r="E276" s="160" t="str" cm="1">
        <f t="array" aca="1" ref="E276" ca="1">IF(C276="", INDIRECT("'"&amp;B276&amp;"'!B3"), INDEX(INDIRECT("'"&amp;B276&amp;"'!5:5"), COLUMN(INDIRECT("'"&amp;B276&amp;"'!"&amp;D276))))</f>
        <v>Trade Finance Transactions (Outgoing) - Number</v>
      </c>
      <c r="F276" s="157" t="s">
        <v>1772</v>
      </c>
      <c r="G276" s="157" t="s">
        <v>1813</v>
      </c>
      <c r="H276" s="158" t="s">
        <v>1863</v>
      </c>
      <c r="I276" s="171" t="str">
        <f>IF(AND('AML.04.05'!$D$11=0, 'AML.04.05'!$F$11&gt;0), $G276 &amp; ": " &amp; $H276, "OK")</f>
        <v>OK</v>
      </c>
      <c r="J276" s="157" t="str">
        <f>IF(LEN(IF(VLOOKUP("AMLA_VR_AML.04.05_C0030_01",$A:$I,9,0)&lt;&gt;"OK",CHAR(10)&amp;VLOOKUP("AMLA_VR_AML.04.05_C0030_01",$A:$I,9,0),"")&amp;IF(VLOOKUP("AMLA_VR_AML.04.05_C0030_02",$A:$I,9,0)&lt;&gt;"OK",CHAR(10)&amp;VLOOKUP("AMLA_VR_AML.04.05_C0030_02",$A:$I,9,0),"")&amp;IF(VLOOKUP("AMLA_VR_AML.04.05_C0030_03",$A:$I,9,0)&lt;&gt;"OK",CHAR(10)&amp;VLOOKUP("AMLA_VR_AML.04.05_C0030_03",$A:$I,9,0),""))=0,"OK",MID(IF(VLOOKUP("AMLA_VR_AML.04.05_C0030_01",$A:$I,9,0)&lt;&gt;"OK",CHAR(10)&amp;VLOOKUP("AMLA_VR_AML.04.05_C0030_01",$A:$I,9,0),"")&amp;IF(VLOOKUP("AMLA_VR_AML.04.05_C0030_02",$A:$I,9,0)&lt;&gt;"OK",CHAR(10)&amp;VLOOKUP("AMLA_VR_AML.04.05_C0030_02",$A:$I,9,0),"")&amp;IF(VLOOKUP("AMLA_VR_AML.04.05_C0030_03",$A:$I,9,0)&lt;&gt;"OK",CHAR(10)&amp;VLOOKUP("AMLA_VR_AML.04.05_C0030_03",$A:$I,9,0),""),2,3000))</f>
        <v>OK</v>
      </c>
      <c r="K276" s="157" t="s">
        <v>1775</v>
      </c>
    </row>
    <row r="277" spans="1:11">
      <c r="A277" s="159" t="str">
        <f>"AMLA_VR_" &amp; B277 &amp; "_" &amp; C277 &amp; "_" &amp; TEXT(COUNTIFS($B$2:B277, B277, $C$2:C277, C277), "00")</f>
        <v>AMLA_VR_AML.04.05_C0040_01</v>
      </c>
      <c r="B277" s="160" t="s">
        <v>240</v>
      </c>
      <c r="C277" s="160" t="s">
        <v>84</v>
      </c>
      <c r="D277" s="160" t="s">
        <v>1552</v>
      </c>
      <c r="E277" s="160" t="str" cm="1">
        <f t="array" aca="1" ref="E277" ca="1">IF(C277="", INDIRECT("'"&amp;B277&amp;"'!B3"), INDEX(INDIRECT("'"&amp;B277&amp;"'!5:5"), COLUMN(INDIRECT("'"&amp;B277&amp;"'!"&amp;D277))))</f>
        <v>Trade Finance Transactions (Incoming) - Value</v>
      </c>
      <c r="F277" s="160" t="s">
        <v>1772</v>
      </c>
      <c r="G277" s="160" t="s">
        <v>1773</v>
      </c>
      <c r="H277" s="161" t="s">
        <v>1821</v>
      </c>
      <c r="I277" s="57" t="str">
        <f>IF('AML.04.05'!$E$11&lt;0, $G277 &amp; ": " &amp; $H277, "OK")</f>
        <v>OK</v>
      </c>
      <c r="J277" s="160" t="str">
        <f>IF(LEN(IF(VLOOKUP("AMLA_VR_AML.04.05_C0040_01",$A:$I,9,0)&lt;&gt;"OK",CHAR(10)&amp;VLOOKUP("AMLA_VR_AML.04.05_C0040_01",$A:$I,9,0),"")&amp;IF(VLOOKUP("AMLA_VR_AML.04.05_C0040_02",$A:$I,9,0)&lt;&gt;"OK",CHAR(10)&amp;VLOOKUP("AMLA_VR_AML.04.05_C0040_02",$A:$I,9,0),"")&amp;IF(VLOOKUP("AMLA_VR_AML.04.05_C0040_03",$A:$I,9,0)&lt;&gt;"OK",CHAR(10)&amp;VLOOKUP("AMLA_VR_AML.04.05_C0040_03",$A:$I,9,0),""))=0,"OK",MID(IF(VLOOKUP("AMLA_VR_AML.04.05_C0040_01",$A:$I,9,0)&lt;&gt;"OK",CHAR(10)&amp;VLOOKUP("AMLA_VR_AML.04.05_C0040_01",$A:$I,9,0),"")&amp;IF(VLOOKUP("AMLA_VR_AML.04.05_C0040_02",$A:$I,9,0)&lt;&gt;"OK",CHAR(10)&amp;VLOOKUP("AMLA_VR_AML.04.05_C0040_02",$A:$I,9,0),"")&amp;IF(VLOOKUP("AMLA_VR_AML.04.05_C0040_03",$A:$I,9,0)&lt;&gt;"OK",CHAR(10)&amp;VLOOKUP("AMLA_VR_AML.04.05_C0040_03",$A:$I,9,0),""),2,3000))</f>
        <v>OK</v>
      </c>
      <c r="K277" s="160" t="s">
        <v>1775</v>
      </c>
    </row>
    <row r="278" spans="1:11">
      <c r="A278" s="159" t="str">
        <f>"AMLA_VR_" &amp; B278 &amp; "_" &amp; C278 &amp; "_" &amp; TEXT(COUNTIFS($B$2:B278, B278, $C$2:C278, C278), "00")</f>
        <v>AMLA_VR_AML.04.05_C0040_02</v>
      </c>
      <c r="B278" s="160" t="s">
        <v>240</v>
      </c>
      <c r="C278" s="160" t="s">
        <v>84</v>
      </c>
      <c r="D278" s="160" t="s">
        <v>1552</v>
      </c>
      <c r="E278" s="160" t="str" cm="1">
        <f t="array" aca="1" ref="E278" ca="1">IF(C278="", INDIRECT("'"&amp;B278&amp;"'!B3"), INDEX(INDIRECT("'"&amp;B278&amp;"'!5:5"), COLUMN(INDIRECT("'"&amp;B278&amp;"'!"&amp;D278))))</f>
        <v>Trade Finance Transactions (Incoming) - Value</v>
      </c>
      <c r="F278" s="160" t="s">
        <v>1776</v>
      </c>
      <c r="G278" s="160" t="s">
        <v>1773</v>
      </c>
      <c r="H278" s="161" t="s">
        <v>1837</v>
      </c>
      <c r="I278" s="57" t="str">
        <f>IF(TRIM(SUBSTITUTE('AML.04.05'!$E$11&amp;"",CHAR(160),""))="","OK",IF(NOT(ISNUMBER('AML.04.05'!$E$11)),$G278&amp;": "&amp;$H278,"OK"))</f>
        <v>OK</v>
      </c>
      <c r="J278" s="160" t="str">
        <f>IF(LEN(IF(VLOOKUP("AMLA_VR_AML.04.05_C0040_01",$A:$I,9,0)&lt;&gt;"OK",CHAR(10)&amp;VLOOKUP("AMLA_VR_AML.04.05_C0040_01",$A:$I,9,0),"")&amp;IF(VLOOKUP("AMLA_VR_AML.04.05_C0040_02",$A:$I,9,0)&lt;&gt;"OK",CHAR(10)&amp;VLOOKUP("AMLA_VR_AML.04.05_C0040_02",$A:$I,9,0),"")&amp;IF(VLOOKUP("AMLA_VR_AML.04.05_C0040_03",$A:$I,9,0)&lt;&gt;"OK",CHAR(10)&amp;VLOOKUP("AMLA_VR_AML.04.05_C0040_03",$A:$I,9,0),""))=0,"OK",MID(IF(VLOOKUP("AMLA_VR_AML.04.05_C0040_01",$A:$I,9,0)&lt;&gt;"OK",CHAR(10)&amp;VLOOKUP("AMLA_VR_AML.04.05_C0040_01",$A:$I,9,0),"")&amp;IF(VLOOKUP("AMLA_VR_AML.04.05_C0040_02",$A:$I,9,0)&lt;&gt;"OK",CHAR(10)&amp;VLOOKUP("AMLA_VR_AML.04.05_C0040_02",$A:$I,9,0),"")&amp;IF(VLOOKUP("AMLA_VR_AML.04.05_C0040_03",$A:$I,9,0)&lt;&gt;"OK",CHAR(10)&amp;VLOOKUP("AMLA_VR_AML.04.05_C0040_03",$A:$I,9,0),""),2,3000))</f>
        <v>OK</v>
      </c>
      <c r="K278" s="160" t="s">
        <v>1775</v>
      </c>
    </row>
    <row r="279" spans="1:11">
      <c r="A279" s="159" t="str">
        <f>"AMLA_VR_" &amp; B279 &amp; "_" &amp; C279 &amp; "_" &amp; TEXT(COUNTIFS($B$2:B279, B279, $C$2:C279, C279), "00")</f>
        <v>AMLA_VR_AML.04.05_C0040_03</v>
      </c>
      <c r="B279" s="157" t="s">
        <v>240</v>
      </c>
      <c r="C279" s="157" t="s">
        <v>84</v>
      </c>
      <c r="D279" s="157" t="s">
        <v>1552</v>
      </c>
      <c r="E279" s="160" t="str" cm="1">
        <f t="array" aca="1" ref="E279" ca="1">IF(C279="", INDIRECT("'"&amp;B279&amp;"'!B3"), INDEX(INDIRECT("'"&amp;B279&amp;"'!5:5"), COLUMN(INDIRECT("'"&amp;B279&amp;"'!"&amp;D279))))</f>
        <v>Trade Finance Transactions (Incoming) - Value</v>
      </c>
      <c r="F279" s="157" t="s">
        <v>1772</v>
      </c>
      <c r="G279" s="157" t="s">
        <v>1813</v>
      </c>
      <c r="H279" s="158" t="s">
        <v>1860</v>
      </c>
      <c r="I279" s="171" t="str">
        <f>IF(AND('AML.04.05'!$E$11=0, 'AML.04.05'!$C$11&gt;0), $G279 &amp; ": " &amp; $H279, "OK")</f>
        <v>OK</v>
      </c>
      <c r="J279" s="157" t="str">
        <f>IF(LEN(IF(VLOOKUP("AMLA_VR_AML.04.05_C0040_01",$A:$I,9,0)&lt;&gt;"OK",CHAR(10)&amp;VLOOKUP("AMLA_VR_AML.04.05_C0040_01",$A:$I,9,0),"")&amp;IF(VLOOKUP("AMLA_VR_AML.04.05_C0040_02",$A:$I,9,0)&lt;&gt;"OK",CHAR(10)&amp;VLOOKUP("AMLA_VR_AML.04.05_C0040_02",$A:$I,9,0),"")&amp;IF(VLOOKUP("AMLA_VR_AML.04.05_C0040_03",$A:$I,9,0)&lt;&gt;"OK",CHAR(10)&amp;VLOOKUP("AMLA_VR_AML.04.05_C0040_03",$A:$I,9,0),""))=0,"OK",MID(IF(VLOOKUP("AMLA_VR_AML.04.05_C0040_01",$A:$I,9,0)&lt;&gt;"OK",CHAR(10)&amp;VLOOKUP("AMLA_VR_AML.04.05_C0040_01",$A:$I,9,0),"")&amp;IF(VLOOKUP("AMLA_VR_AML.04.05_C0040_02",$A:$I,9,0)&lt;&gt;"OK",CHAR(10)&amp;VLOOKUP("AMLA_VR_AML.04.05_C0040_02",$A:$I,9,0),"")&amp;IF(VLOOKUP("AMLA_VR_AML.04.05_C0040_03",$A:$I,9,0)&lt;&gt;"OK",CHAR(10)&amp;VLOOKUP("AMLA_VR_AML.04.05_C0040_03",$A:$I,9,0),""),2,3000))</f>
        <v>OK</v>
      </c>
      <c r="K279" s="157" t="s">
        <v>1775</v>
      </c>
    </row>
    <row r="280" spans="1:11">
      <c r="A280" s="159" t="str">
        <f>"AMLA_VR_" &amp; B280 &amp; "_" &amp; C280 &amp; "_" &amp; TEXT(COUNTIFS($B$2:B280, B280, $C$2:C280, C280), "00")</f>
        <v>AMLA_VR_AML.04.05_C0050_01</v>
      </c>
      <c r="B280" s="160" t="s">
        <v>240</v>
      </c>
      <c r="C280" s="160" t="s">
        <v>85</v>
      </c>
      <c r="D280" s="160" t="s">
        <v>1553</v>
      </c>
      <c r="E280" s="160" t="str" cm="1">
        <f t="array" aca="1" ref="E280" ca="1">IF(C280="", INDIRECT("'"&amp;B280&amp;"'!B3"), INDEX(INDIRECT("'"&amp;B280&amp;"'!5:5"), COLUMN(INDIRECT("'"&amp;B280&amp;"'!"&amp;D280))))</f>
        <v>Trade Finance Transactions (Outgoing) - Value</v>
      </c>
      <c r="F280" s="160" t="s">
        <v>1772</v>
      </c>
      <c r="G280" s="160" t="s">
        <v>1773</v>
      </c>
      <c r="H280" s="161" t="s">
        <v>1822</v>
      </c>
      <c r="I280" s="57" t="str">
        <f>IF('AML.04.05'!$F$11&lt;0, $G280 &amp; ": " &amp; $H280, "OK")</f>
        <v>OK</v>
      </c>
      <c r="J280" s="160" t="str">
        <f>IF(LEN(IF(VLOOKUP("AMLA_VR_AML.04.05_C0050_01",$A:$I,9,0)&lt;&gt;"OK",CHAR(10)&amp;VLOOKUP("AMLA_VR_AML.04.05_C0050_01",$A:$I,9,0),"")&amp;IF(VLOOKUP("AMLA_VR_AML.04.05_C0050_02",$A:$I,9,0)&lt;&gt;"OK",CHAR(10)&amp;VLOOKUP("AMLA_VR_AML.04.05_C0050_02",$A:$I,9,0),"")&amp;IF(VLOOKUP("AMLA_VR_AML.04.05_C0050_03",$A:$I,9,0)&lt;&gt;"OK",CHAR(10)&amp;VLOOKUP("AMLA_VR_AML.04.05_C0050_03",$A:$I,9,0),""))=0,"OK",MID(IF(VLOOKUP("AMLA_VR_AML.04.05_C0050_01",$A:$I,9,0)&lt;&gt;"OK",CHAR(10)&amp;VLOOKUP("AMLA_VR_AML.04.05_C0050_01",$A:$I,9,0),"")&amp;IF(VLOOKUP("AMLA_VR_AML.04.05_C0050_02",$A:$I,9,0)&lt;&gt;"OK",CHAR(10)&amp;VLOOKUP("AMLA_VR_AML.04.05_C0050_02",$A:$I,9,0),"")&amp;IF(VLOOKUP("AMLA_VR_AML.04.05_C0050_03",$A:$I,9,0)&lt;&gt;"OK",CHAR(10)&amp;VLOOKUP("AMLA_VR_AML.04.05_C0050_03",$A:$I,9,0),""),2,3000))</f>
        <v>OK</v>
      </c>
      <c r="K280" s="160" t="s">
        <v>1775</v>
      </c>
    </row>
    <row r="281" spans="1:11">
      <c r="A281" s="159" t="str">
        <f>"AMLA_VR_" &amp; B281 &amp; "_" &amp; C281 &amp; "_" &amp; TEXT(COUNTIFS($B$2:B281, B281, $C$2:C281, C281), "00")</f>
        <v>AMLA_VR_AML.04.05_C0050_02</v>
      </c>
      <c r="B281" s="157" t="s">
        <v>240</v>
      </c>
      <c r="C281" s="157" t="s">
        <v>85</v>
      </c>
      <c r="D281" s="157" t="s">
        <v>1553</v>
      </c>
      <c r="E281" s="160" t="str" cm="1">
        <f t="array" aca="1" ref="E281" ca="1">IF(C281="", INDIRECT("'"&amp;B281&amp;"'!B3"), INDEX(INDIRECT("'"&amp;B281&amp;"'!5:5"), COLUMN(INDIRECT("'"&amp;B281&amp;"'!"&amp;D281))))</f>
        <v>Trade Finance Transactions (Outgoing) - Value</v>
      </c>
      <c r="F281" s="157" t="s">
        <v>1776</v>
      </c>
      <c r="G281" s="157" t="s">
        <v>1773</v>
      </c>
      <c r="H281" s="158" t="s">
        <v>1837</v>
      </c>
      <c r="I281" s="171" t="str">
        <f>IF(TRIM(SUBSTITUTE('AML.04.05'!$F$11&amp;"",CHAR(160),""))="","OK",IF(NOT(ISNUMBER('AML.04.05'!$F$11)),$G281&amp;": "&amp;$H281,"OK"))</f>
        <v>OK</v>
      </c>
      <c r="J281" s="157" t="str">
        <f>IF(LEN(IF(VLOOKUP("AMLA_VR_AML.04.05_C0050_01",$A:$I,9,0)&lt;&gt;"OK",CHAR(10)&amp;VLOOKUP("AMLA_VR_AML.04.05_C0050_01",$A:$I,9,0),"")&amp;IF(VLOOKUP("AMLA_VR_AML.04.05_C0050_02",$A:$I,9,0)&lt;&gt;"OK",CHAR(10)&amp;VLOOKUP("AMLA_VR_AML.04.05_C0050_02",$A:$I,9,0),"")&amp;IF(VLOOKUP("AMLA_VR_AML.04.05_C0050_03",$A:$I,9,0)&lt;&gt;"OK",CHAR(10)&amp;VLOOKUP("AMLA_VR_AML.04.05_C0050_03",$A:$I,9,0),""))=0,"OK",MID(IF(VLOOKUP("AMLA_VR_AML.04.05_C0050_01",$A:$I,9,0)&lt;&gt;"OK",CHAR(10)&amp;VLOOKUP("AMLA_VR_AML.04.05_C0050_01",$A:$I,9,0),"")&amp;IF(VLOOKUP("AMLA_VR_AML.04.05_C0050_02",$A:$I,9,0)&lt;&gt;"OK",CHAR(10)&amp;VLOOKUP("AMLA_VR_AML.04.05_C0050_02",$A:$I,9,0),"")&amp;IF(VLOOKUP("AMLA_VR_AML.04.05_C0050_03",$A:$I,9,0)&lt;&gt;"OK",CHAR(10)&amp;VLOOKUP("AMLA_VR_AML.04.05_C0050_03",$A:$I,9,0),""),2,3000))</f>
        <v>OK</v>
      </c>
      <c r="K281" s="157" t="s">
        <v>1775</v>
      </c>
    </row>
    <row r="282" spans="1:11">
      <c r="A282" s="159" t="str">
        <f>"AMLA_VR_" &amp; B282 &amp; "_" &amp; C282 &amp; "_" &amp; TEXT(COUNTIFS($B$2:B282, B282, $C$2:C282, C282), "00")</f>
        <v>AMLA_VR_AML.04.05_C0050_03</v>
      </c>
      <c r="B282" s="157" t="s">
        <v>240</v>
      </c>
      <c r="C282" s="157" t="s">
        <v>85</v>
      </c>
      <c r="D282" s="157" t="s">
        <v>1553</v>
      </c>
      <c r="E282" s="160" t="str" cm="1">
        <f t="array" aca="1" ref="E282" ca="1">IF(C282="", INDIRECT("'"&amp;B282&amp;"'!B3"), INDEX(INDIRECT("'"&amp;B282&amp;"'!5:5"), COLUMN(INDIRECT("'"&amp;B282&amp;"'!"&amp;D282))))</f>
        <v>Trade Finance Transactions (Outgoing) - Value</v>
      </c>
      <c r="F282" s="157" t="s">
        <v>1772</v>
      </c>
      <c r="G282" s="157" t="s">
        <v>1813</v>
      </c>
      <c r="H282" s="158" t="s">
        <v>1864</v>
      </c>
      <c r="I282" s="171" t="str">
        <f>IF(AND('AML.04.05'!$F$11=0, 'AML.04.05'!$D$11&gt;0), $G282 &amp; ": " &amp; $H282, "OK")</f>
        <v>OK</v>
      </c>
      <c r="J282" s="157" t="str">
        <f>IF(LEN(IF(VLOOKUP("AMLA_VR_AML.04.05_C0050_01",$A:$I,9,0)&lt;&gt;"OK",CHAR(10)&amp;VLOOKUP("AMLA_VR_AML.04.05_C0050_01",$A:$I,9,0),"")&amp;IF(VLOOKUP("AMLA_VR_AML.04.05_C0050_02",$A:$I,9,0)&lt;&gt;"OK",CHAR(10)&amp;VLOOKUP("AMLA_VR_AML.04.05_C0050_02",$A:$I,9,0),"")&amp;IF(VLOOKUP("AMLA_VR_AML.04.05_C0050_03",$A:$I,9,0)&lt;&gt;"OK",CHAR(10)&amp;VLOOKUP("AMLA_VR_AML.04.05_C0050_03",$A:$I,9,0),""))=0,"OK",MID(IF(VLOOKUP("AMLA_VR_AML.04.05_C0050_01",$A:$I,9,0)&lt;&gt;"OK",CHAR(10)&amp;VLOOKUP("AMLA_VR_AML.04.05_C0050_01",$A:$I,9,0),"")&amp;IF(VLOOKUP("AMLA_VR_AML.04.05_C0050_02",$A:$I,9,0)&lt;&gt;"OK",CHAR(10)&amp;VLOOKUP("AMLA_VR_AML.04.05_C0050_02",$A:$I,9,0),"")&amp;IF(VLOOKUP("AMLA_VR_AML.04.05_C0050_03",$A:$I,9,0)&lt;&gt;"OK",CHAR(10)&amp;VLOOKUP("AMLA_VR_AML.04.05_C0050_03",$A:$I,9,0),""),2,3000))</f>
        <v>OK</v>
      </c>
      <c r="K282" s="157" t="s">
        <v>1775</v>
      </c>
    </row>
    <row r="283" spans="1:11">
      <c r="A283" s="159" t="str">
        <f>"AMLA_VR_" &amp; B283 &amp; "_" &amp; C283 &amp; "_" &amp; TEXT(COUNTIFS($B$2:B283, B283, $C$2:C283, C283), "00")</f>
        <v>AMLA_VR_AML.04.06_C0010_01</v>
      </c>
      <c r="B283" s="160" t="s">
        <v>247</v>
      </c>
      <c r="C283" s="160" t="s">
        <v>81</v>
      </c>
      <c r="D283" s="160" t="s">
        <v>1549</v>
      </c>
      <c r="E283" s="160" t="str" cm="1">
        <f t="array" aca="1" ref="E283" ca="1">IF(C283="", INDIRECT("'"&amp;B283&amp;"'!B3"), INDEX(INDIRECT("'"&amp;B283&amp;"'!5:5"), COLUMN(INDIRECT("'"&amp;B283&amp;"'!"&amp;D283))))</f>
        <v>E-money Transactions (Incoming) - Volume</v>
      </c>
      <c r="F283" s="160" t="s">
        <v>1772</v>
      </c>
      <c r="G283" s="160" t="s">
        <v>1773</v>
      </c>
      <c r="H283" s="161" t="s">
        <v>1815</v>
      </c>
      <c r="I283" s="57" t="str">
        <f>IF('AML.04.06'!$B$11&lt;0, $G283 &amp; ": " &amp; $H283, "OK")</f>
        <v>OK</v>
      </c>
      <c r="J283" s="160" t="str">
        <f>IF(LEN(IF(VLOOKUP("AMLA_VR_AML.04.06_C0010_01",$A:$I,9,0)&lt;&gt;"OK",CHAR(10)&amp;VLOOKUP("AMLA_VR_AML.04.06_C0010_01",$A:$I,9,0),"")&amp;IF(VLOOKUP("AMLA_VR_AML.04.06_C0010_02",$A:$I,9,0)&lt;&gt;"OK",CHAR(10)&amp;VLOOKUP("AMLA_VR_AML.04.06_C0010_02",$A:$I,9,0),"")&amp;IF(VLOOKUP("AMLA_VR_AML.04.06_C0010_03",$A:$I,9,0)&lt;&gt;"OK",CHAR(10)&amp;VLOOKUP("AMLA_VR_AML.04.06_C0010_03",$A:$I,9,0),""))=0,"OK",MID(IF(VLOOKUP("AMLA_VR_AML.04.06_C0010_01",$A:$I,9,0)&lt;&gt;"OK",CHAR(10)&amp;VLOOKUP("AMLA_VR_AML.04.06_C0010_01",$A:$I,9,0),"")&amp;IF(VLOOKUP("AMLA_VR_AML.04.06_C0010_02",$A:$I,9,0)&lt;&gt;"OK",CHAR(10)&amp;VLOOKUP("AMLA_VR_AML.04.06_C0010_02",$A:$I,9,0),"")&amp;IF(VLOOKUP("AMLA_VR_AML.04.06_C0010_03",$A:$I,9,0)&lt;&gt;"OK",CHAR(10)&amp;VLOOKUP("AMLA_VR_AML.04.06_C0010_03",$A:$I,9,0),""),2,3000))</f>
        <v>OK</v>
      </c>
      <c r="K283" s="160" t="s">
        <v>1775</v>
      </c>
    </row>
    <row r="284" spans="1:11">
      <c r="A284" s="159" t="str">
        <f>"AMLA_VR_" &amp; B284 &amp; "_" &amp; C284 &amp; "_" &amp; TEXT(COUNTIFS($B$2:B284, B284, $C$2:C284, C284), "00")</f>
        <v>AMLA_VR_AML.04.06_C0010_02</v>
      </c>
      <c r="B284" s="160" t="s">
        <v>247</v>
      </c>
      <c r="C284" s="160" t="s">
        <v>81</v>
      </c>
      <c r="D284" s="160" t="s">
        <v>1549</v>
      </c>
      <c r="E284" s="160" t="str" cm="1">
        <f t="array" aca="1" ref="E284" ca="1">IF(C284="", INDIRECT("'"&amp;B284&amp;"'!B3"), INDEX(INDIRECT("'"&amp;B284&amp;"'!5:5"), COLUMN(INDIRECT("'"&amp;B284&amp;"'!"&amp;D284))))</f>
        <v>E-money Transactions (Incoming) - Volume</v>
      </c>
      <c r="F284" s="160" t="s">
        <v>1776</v>
      </c>
      <c r="G284" s="160" t="s">
        <v>1773</v>
      </c>
      <c r="H284" s="161" t="s">
        <v>1816</v>
      </c>
      <c r="I284" s="57" t="str">
        <f>IF(TRIM(SUBSTITUTE('AML.04.06'!$B$11&amp;"",CHAR(160),""))="","OK",IF(OR(NOT(ISNUMBER('AML.04.06'!$B$11)),IFERROR(INT('AML.04.06'!$B$11)&lt;&gt;'AML.04.06'!$B$11,TRUE)),$G284&amp;": "&amp;$H284,"OK"))</f>
        <v>OK</v>
      </c>
      <c r="J284" s="160" t="str">
        <f>IF(LEN(IF(VLOOKUP("AMLA_VR_AML.04.06_C0010_01",$A:$I,9,0)&lt;&gt;"OK",CHAR(10)&amp;VLOOKUP("AMLA_VR_AML.04.06_C0010_01",$A:$I,9,0),"")&amp;IF(VLOOKUP("AMLA_VR_AML.04.06_C0010_02",$A:$I,9,0)&lt;&gt;"OK",CHAR(10)&amp;VLOOKUP("AMLA_VR_AML.04.06_C0010_02",$A:$I,9,0),"")&amp;IF(VLOOKUP("AMLA_VR_AML.04.06_C0010_03",$A:$I,9,0)&lt;&gt;"OK",CHAR(10)&amp;VLOOKUP("AMLA_VR_AML.04.06_C0010_03",$A:$I,9,0),""))=0,"OK",MID(IF(VLOOKUP("AMLA_VR_AML.04.06_C0010_01",$A:$I,9,0)&lt;&gt;"OK",CHAR(10)&amp;VLOOKUP("AMLA_VR_AML.04.06_C0010_01",$A:$I,9,0),"")&amp;IF(VLOOKUP("AMLA_VR_AML.04.06_C0010_02",$A:$I,9,0)&lt;&gt;"OK",CHAR(10)&amp;VLOOKUP("AMLA_VR_AML.04.06_C0010_02",$A:$I,9,0),"")&amp;IF(VLOOKUP("AMLA_VR_AML.04.06_C0010_03",$A:$I,9,0)&lt;&gt;"OK",CHAR(10)&amp;VLOOKUP("AMLA_VR_AML.04.06_C0010_03",$A:$I,9,0),""),2,3000))</f>
        <v>OK</v>
      </c>
      <c r="K284" s="160" t="s">
        <v>1775</v>
      </c>
    </row>
    <row r="285" spans="1:11">
      <c r="A285" s="159" t="str">
        <f>"AMLA_VR_" &amp; B285 &amp; "_" &amp; C285 &amp; "_" &amp; TEXT(COUNTIFS($B$2:B285, B285, $C$2:C285, C285), "00")</f>
        <v>AMLA_VR_AML.04.06_C0010_03</v>
      </c>
      <c r="B285" s="157" t="s">
        <v>247</v>
      </c>
      <c r="C285" s="157" t="s">
        <v>81</v>
      </c>
      <c r="D285" s="157" t="s">
        <v>1549</v>
      </c>
      <c r="E285" s="160" t="str" cm="1">
        <f t="array" aca="1" ref="E285" ca="1">IF(C285="", INDIRECT("'"&amp;B285&amp;"'!B3"), INDEX(INDIRECT("'"&amp;B285&amp;"'!5:5"), COLUMN(INDIRECT("'"&amp;B285&amp;"'!"&amp;D285))))</f>
        <v>E-money Transactions (Incoming) - Volume</v>
      </c>
      <c r="F285" s="157" t="s">
        <v>1772</v>
      </c>
      <c r="G285" s="157" t="s">
        <v>1813</v>
      </c>
      <c r="H285" s="158" t="s">
        <v>1857</v>
      </c>
      <c r="I285" s="171" t="str">
        <f>IF(AND('AML.04.06'!$B$11=0, 'AML.04.06'!$D$11&gt;0), $G285 &amp; ": " &amp; $H285, "OK")</f>
        <v>OK</v>
      </c>
      <c r="J285" s="157" t="str">
        <f>IF(LEN(IF(VLOOKUP("AMLA_VR_AML.04.06_C0010_01",$A:$I,9,0)&lt;&gt;"OK",CHAR(10)&amp;VLOOKUP("AMLA_VR_AML.04.06_C0010_01",$A:$I,9,0),"")&amp;IF(VLOOKUP("AMLA_VR_AML.04.06_C0010_02",$A:$I,9,0)&lt;&gt;"OK",CHAR(10)&amp;VLOOKUP("AMLA_VR_AML.04.06_C0010_02",$A:$I,9,0),"")&amp;IF(VLOOKUP("AMLA_VR_AML.04.06_C0010_03",$A:$I,9,0)&lt;&gt;"OK",CHAR(10)&amp;VLOOKUP("AMLA_VR_AML.04.06_C0010_03",$A:$I,9,0),""))=0,"OK",MID(IF(VLOOKUP("AMLA_VR_AML.04.06_C0010_01",$A:$I,9,0)&lt;&gt;"OK",CHAR(10)&amp;VLOOKUP("AMLA_VR_AML.04.06_C0010_01",$A:$I,9,0),"")&amp;IF(VLOOKUP("AMLA_VR_AML.04.06_C0010_02",$A:$I,9,0)&lt;&gt;"OK",CHAR(10)&amp;VLOOKUP("AMLA_VR_AML.04.06_C0010_02",$A:$I,9,0),"")&amp;IF(VLOOKUP("AMLA_VR_AML.04.06_C0010_03",$A:$I,9,0)&lt;&gt;"OK",CHAR(10)&amp;VLOOKUP("AMLA_VR_AML.04.06_C0010_03",$A:$I,9,0),""),2,3000))</f>
        <v>OK</v>
      </c>
      <c r="K285" s="157" t="s">
        <v>1775</v>
      </c>
    </row>
    <row r="286" spans="1:11">
      <c r="A286" s="159" t="str">
        <f>"AMLA_VR_" &amp; B286 &amp; "_" &amp; C286 &amp; "_" &amp; TEXT(COUNTIFS($B$2:B286, B286, $C$2:C286, C286), "00")</f>
        <v>AMLA_VR_AML.04.06_C0020_01</v>
      </c>
      <c r="B286" s="160" t="s">
        <v>247</v>
      </c>
      <c r="C286" s="160" t="s">
        <v>82</v>
      </c>
      <c r="D286" s="160" t="s">
        <v>1550</v>
      </c>
      <c r="E286" s="160" t="str" cm="1">
        <f t="array" aca="1" ref="E286" ca="1">IF(C286="", INDIRECT("'"&amp;B286&amp;"'!B3"), INDEX(INDIRECT("'"&amp;B286&amp;"'!5:5"), COLUMN(INDIRECT("'"&amp;B286&amp;"'!"&amp;D286))))</f>
        <v>E-money Transactions (Outgoing) - Number</v>
      </c>
      <c r="F286" s="160" t="s">
        <v>1772</v>
      </c>
      <c r="G286" s="160" t="s">
        <v>1773</v>
      </c>
      <c r="H286" s="161" t="s">
        <v>1819</v>
      </c>
      <c r="I286" s="57" t="str">
        <f>IF('AML.04.06'!$C$11&lt;0, $G286 &amp; ": " &amp; $H286, "OK")</f>
        <v>OK</v>
      </c>
      <c r="J286" s="160" t="str">
        <f>IF(LEN(IF(VLOOKUP("AMLA_VR_AML.04.06_C0020_01",$A:$I,9,0)&lt;&gt;"OK",CHAR(10)&amp;VLOOKUP("AMLA_VR_AML.04.06_C0020_01",$A:$I,9,0),"")&amp;IF(VLOOKUP("AMLA_VR_AML.04.06_C0020_02",$A:$I,9,0)&lt;&gt;"OK",CHAR(10)&amp;VLOOKUP("AMLA_VR_AML.04.06_C0020_02",$A:$I,9,0),"")&amp;IF(VLOOKUP("AMLA_VR_AML.04.06_C0020_03",$A:$I,9,0)&lt;&gt;"OK",CHAR(10)&amp;VLOOKUP("AMLA_VR_AML.04.06_C0020_03",$A:$I,9,0),""))=0,"OK",MID(IF(VLOOKUP("AMLA_VR_AML.04.06_C0020_01",$A:$I,9,0)&lt;&gt;"OK",CHAR(10)&amp;VLOOKUP("AMLA_VR_AML.04.06_C0020_01",$A:$I,9,0),"")&amp;IF(VLOOKUP("AMLA_VR_AML.04.06_C0020_02",$A:$I,9,0)&lt;&gt;"OK",CHAR(10)&amp;VLOOKUP("AMLA_VR_AML.04.06_C0020_02",$A:$I,9,0),"")&amp;IF(VLOOKUP("AMLA_VR_AML.04.06_C0020_03",$A:$I,9,0)&lt;&gt;"OK",CHAR(10)&amp;VLOOKUP("AMLA_VR_AML.04.06_C0020_03",$A:$I,9,0),""),2,3000))</f>
        <v>OK</v>
      </c>
      <c r="K286" s="160" t="s">
        <v>1775</v>
      </c>
    </row>
    <row r="287" spans="1:11">
      <c r="A287" s="159" t="str">
        <f>"AMLA_VR_" &amp; B287 &amp; "_" &amp; C287 &amp; "_" &amp; TEXT(COUNTIFS($B$2:B287, B287, $C$2:C287, C287), "00")</f>
        <v>AMLA_VR_AML.04.06_C0020_02</v>
      </c>
      <c r="B287" s="157" t="s">
        <v>247</v>
      </c>
      <c r="C287" s="157" t="s">
        <v>82</v>
      </c>
      <c r="D287" s="157" t="s">
        <v>1550</v>
      </c>
      <c r="E287" s="160" t="str" cm="1">
        <f t="array" aca="1" ref="E287" ca="1">IF(C287="", INDIRECT("'"&amp;B287&amp;"'!B3"), INDEX(INDIRECT("'"&amp;B287&amp;"'!5:5"), COLUMN(INDIRECT("'"&amp;B287&amp;"'!"&amp;D287))))</f>
        <v>E-money Transactions (Outgoing) - Number</v>
      </c>
      <c r="F287" s="157" t="s">
        <v>1776</v>
      </c>
      <c r="G287" s="157" t="s">
        <v>1773</v>
      </c>
      <c r="H287" s="158" t="s">
        <v>1816</v>
      </c>
      <c r="I287" s="171" t="str">
        <f>IF(TRIM(SUBSTITUTE('AML.04.06'!$C$11&amp;"",CHAR(160),""))="","OK",IF(OR(NOT(ISNUMBER('AML.04.06'!$C$11)),IFERROR(INT('AML.04.06'!$C$11)&lt;&gt;'AML.04.06'!$C$11,TRUE)),$G287&amp;": "&amp;$H287,"OK"))</f>
        <v>OK</v>
      </c>
      <c r="J287" s="157" t="str">
        <f>IF(LEN(IF(VLOOKUP("AMLA_VR_AML.04.06_C0020_01",$A:$I,9,0)&lt;&gt;"OK",CHAR(10)&amp;VLOOKUP("AMLA_VR_AML.04.06_C0020_01",$A:$I,9,0),"")&amp;IF(VLOOKUP("AMLA_VR_AML.04.06_C0020_02",$A:$I,9,0)&lt;&gt;"OK",CHAR(10)&amp;VLOOKUP("AMLA_VR_AML.04.06_C0020_02",$A:$I,9,0),"")&amp;IF(VLOOKUP("AMLA_VR_AML.04.06_C0020_03",$A:$I,9,0)&lt;&gt;"OK",CHAR(10)&amp;VLOOKUP("AMLA_VR_AML.04.06_C0020_03",$A:$I,9,0),""))=0,"OK",MID(IF(VLOOKUP("AMLA_VR_AML.04.06_C0020_01",$A:$I,9,0)&lt;&gt;"OK",CHAR(10)&amp;VLOOKUP("AMLA_VR_AML.04.06_C0020_01",$A:$I,9,0),"")&amp;IF(VLOOKUP("AMLA_VR_AML.04.06_C0020_02",$A:$I,9,0)&lt;&gt;"OK",CHAR(10)&amp;VLOOKUP("AMLA_VR_AML.04.06_C0020_02",$A:$I,9,0),"")&amp;IF(VLOOKUP("AMLA_VR_AML.04.06_C0020_03",$A:$I,9,0)&lt;&gt;"OK",CHAR(10)&amp;VLOOKUP("AMLA_VR_AML.04.06_C0020_03",$A:$I,9,0),""),2,3000))</f>
        <v>OK</v>
      </c>
      <c r="K287" s="157" t="s">
        <v>1775</v>
      </c>
    </row>
    <row r="288" spans="1:11">
      <c r="A288" s="159" t="str">
        <f>"AMLA_VR_" &amp; B288 &amp; "_" &amp; C288 &amp; "_" &amp; TEXT(COUNTIFS($B$2:B288, B288, $C$2:C288, C288), "00")</f>
        <v>AMLA_VR_AML.04.06_C0020_03</v>
      </c>
      <c r="B288" s="157" t="s">
        <v>247</v>
      </c>
      <c r="C288" s="157" t="s">
        <v>82</v>
      </c>
      <c r="D288" s="157" t="s">
        <v>1550</v>
      </c>
      <c r="E288" s="160" t="str" cm="1">
        <f t="array" aca="1" ref="E288" ca="1">IF(C288="", INDIRECT("'"&amp;B288&amp;"'!B3"), INDEX(INDIRECT("'"&amp;B288&amp;"'!5:5"), COLUMN(INDIRECT("'"&amp;B288&amp;"'!"&amp;D288))))</f>
        <v>E-money Transactions (Outgoing) - Number</v>
      </c>
      <c r="F288" s="157" t="s">
        <v>1772</v>
      </c>
      <c r="G288" s="157" t="s">
        <v>1813</v>
      </c>
      <c r="H288" s="158" t="s">
        <v>1858</v>
      </c>
      <c r="I288" s="171" t="str">
        <f>IF(AND('AML.04.06'!$C$11=0, 'AML.04.06'!$E$11&gt;0), $G288 &amp; ": " &amp; $H288, "OK")</f>
        <v>OK</v>
      </c>
      <c r="J288" s="157" t="str">
        <f>IF(LEN(IF(VLOOKUP("AMLA_VR_AML.04.06_C0020_01",$A:$I,9,0)&lt;&gt;"OK",CHAR(10)&amp;VLOOKUP("AMLA_VR_AML.04.06_C0020_01",$A:$I,9,0),"")&amp;IF(VLOOKUP("AMLA_VR_AML.04.06_C0020_02",$A:$I,9,0)&lt;&gt;"OK",CHAR(10)&amp;VLOOKUP("AMLA_VR_AML.04.06_C0020_02",$A:$I,9,0),"")&amp;IF(VLOOKUP("AMLA_VR_AML.04.06_C0020_03",$A:$I,9,0)&lt;&gt;"OK",CHAR(10)&amp;VLOOKUP("AMLA_VR_AML.04.06_C0020_03",$A:$I,9,0),""))=0,"OK",MID(IF(VLOOKUP("AMLA_VR_AML.04.06_C0020_01",$A:$I,9,0)&lt;&gt;"OK",CHAR(10)&amp;VLOOKUP("AMLA_VR_AML.04.06_C0020_01",$A:$I,9,0),"")&amp;IF(VLOOKUP("AMLA_VR_AML.04.06_C0020_02",$A:$I,9,0)&lt;&gt;"OK",CHAR(10)&amp;VLOOKUP("AMLA_VR_AML.04.06_C0020_02",$A:$I,9,0),"")&amp;IF(VLOOKUP("AMLA_VR_AML.04.06_C0020_03",$A:$I,9,0)&lt;&gt;"OK",CHAR(10)&amp;VLOOKUP("AMLA_VR_AML.04.06_C0020_03",$A:$I,9,0),""),2,3000))</f>
        <v>OK</v>
      </c>
      <c r="K288" s="157" t="s">
        <v>1775</v>
      </c>
    </row>
    <row r="289" spans="1:11">
      <c r="A289" s="159" t="str">
        <f>"AMLA_VR_" &amp; B289 &amp; "_" &amp; C289 &amp; "_" &amp; TEXT(COUNTIFS($B$2:B289, B289, $C$2:C289, C289), "00")</f>
        <v>AMLA_VR_AML.04.06_C0030_01</v>
      </c>
      <c r="B289" s="160" t="s">
        <v>247</v>
      </c>
      <c r="C289" s="160" t="s">
        <v>83</v>
      </c>
      <c r="D289" s="160" t="s">
        <v>1551</v>
      </c>
      <c r="E289" s="160" t="str" cm="1">
        <f t="array" aca="1" ref="E289" ca="1">IF(C289="", INDIRECT("'"&amp;B289&amp;"'!B3"), INDEX(INDIRECT("'"&amp;B289&amp;"'!5:5"), COLUMN(INDIRECT("'"&amp;B289&amp;"'!"&amp;D289))))</f>
        <v>E-money Transactions (Incoming) - Value</v>
      </c>
      <c r="F289" s="160" t="s">
        <v>1772</v>
      </c>
      <c r="G289" s="160" t="s">
        <v>1773</v>
      </c>
      <c r="H289" s="161" t="s">
        <v>1820</v>
      </c>
      <c r="I289" s="57" t="str">
        <f>IF('AML.04.06'!$D$11&lt;0, $G289 &amp; ": " &amp; $H289, "OK")</f>
        <v>OK</v>
      </c>
      <c r="J289" s="160" t="str">
        <f>IF(LEN(IF(VLOOKUP("AMLA_VR_AML.04.06_C0030_01",$A:$I,9,0)&lt;&gt;"OK",CHAR(10)&amp;VLOOKUP("AMLA_VR_AML.04.06_C0030_01",$A:$I,9,0),"")&amp;IF(VLOOKUP("AMLA_VR_AML.04.06_C0030_02",$A:$I,9,0)&lt;&gt;"OK",CHAR(10)&amp;VLOOKUP("AMLA_VR_AML.04.06_C0030_02",$A:$I,9,0),"")&amp;IF(VLOOKUP("AMLA_VR_AML.04.06_C0030_03",$A:$I,9,0)&lt;&gt;"OK",CHAR(10)&amp;VLOOKUP("AMLA_VR_AML.04.06_C0030_03",$A:$I,9,0),""))=0,"OK",MID(IF(VLOOKUP("AMLA_VR_AML.04.06_C0030_01",$A:$I,9,0)&lt;&gt;"OK",CHAR(10)&amp;VLOOKUP("AMLA_VR_AML.04.06_C0030_01",$A:$I,9,0),"")&amp;IF(VLOOKUP("AMLA_VR_AML.04.06_C0030_02",$A:$I,9,0)&lt;&gt;"OK",CHAR(10)&amp;VLOOKUP("AMLA_VR_AML.04.06_C0030_02",$A:$I,9,0),"")&amp;IF(VLOOKUP("AMLA_VR_AML.04.06_C0030_03",$A:$I,9,0)&lt;&gt;"OK",CHAR(10)&amp;VLOOKUP("AMLA_VR_AML.04.06_C0030_03",$A:$I,9,0),""),2,3000))</f>
        <v>OK</v>
      </c>
      <c r="K289" s="160" t="s">
        <v>1775</v>
      </c>
    </row>
    <row r="290" spans="1:11">
      <c r="A290" s="159" t="str">
        <f>"AMLA_VR_" &amp; B290 &amp; "_" &amp; C290 &amp; "_" &amp; TEXT(COUNTIFS($B$2:B290, B290, $C$2:C290, C290), "00")</f>
        <v>AMLA_VR_AML.04.06_C0030_02</v>
      </c>
      <c r="B290" s="160" t="s">
        <v>247</v>
      </c>
      <c r="C290" s="160" t="s">
        <v>83</v>
      </c>
      <c r="D290" s="160" t="s">
        <v>1551</v>
      </c>
      <c r="E290" s="160" t="str" cm="1">
        <f t="array" aca="1" ref="E290" ca="1">IF(C290="", INDIRECT("'"&amp;B290&amp;"'!B3"), INDEX(INDIRECT("'"&amp;B290&amp;"'!5:5"), COLUMN(INDIRECT("'"&amp;B290&amp;"'!"&amp;D290))))</f>
        <v>E-money Transactions (Incoming) - Value</v>
      </c>
      <c r="F290" s="160" t="s">
        <v>1776</v>
      </c>
      <c r="G290" s="160" t="s">
        <v>1773</v>
      </c>
      <c r="H290" s="161" t="s">
        <v>1837</v>
      </c>
      <c r="I290" s="57" t="str">
        <f>IF(TRIM(SUBSTITUTE('AML.04.06'!$D$11&amp;"",CHAR(160),""))="","OK",IF(NOT(ISNUMBER('AML.04.06'!$D$11)),$G290&amp;": "&amp;$H290,"OK"))</f>
        <v>OK</v>
      </c>
      <c r="J290" s="160" t="str">
        <f>IF(LEN(IF(VLOOKUP("AMLA_VR_AML.04.06_C0030_01",$A:$I,9,0)&lt;&gt;"OK",CHAR(10)&amp;VLOOKUP("AMLA_VR_AML.04.06_C0030_01",$A:$I,9,0),"")&amp;IF(VLOOKUP("AMLA_VR_AML.04.06_C0030_02",$A:$I,9,0)&lt;&gt;"OK",CHAR(10)&amp;VLOOKUP("AMLA_VR_AML.04.06_C0030_02",$A:$I,9,0),"")&amp;IF(VLOOKUP("AMLA_VR_AML.04.06_C0030_03",$A:$I,9,0)&lt;&gt;"OK",CHAR(10)&amp;VLOOKUP("AMLA_VR_AML.04.06_C0030_03",$A:$I,9,0),""))=0,"OK",MID(IF(VLOOKUP("AMLA_VR_AML.04.06_C0030_01",$A:$I,9,0)&lt;&gt;"OK",CHAR(10)&amp;VLOOKUP("AMLA_VR_AML.04.06_C0030_01",$A:$I,9,0),"")&amp;IF(VLOOKUP("AMLA_VR_AML.04.06_C0030_02",$A:$I,9,0)&lt;&gt;"OK",CHAR(10)&amp;VLOOKUP("AMLA_VR_AML.04.06_C0030_02",$A:$I,9,0),"")&amp;IF(VLOOKUP("AMLA_VR_AML.04.06_C0030_03",$A:$I,9,0)&lt;&gt;"OK",CHAR(10)&amp;VLOOKUP("AMLA_VR_AML.04.06_C0030_03",$A:$I,9,0),""),2,3000))</f>
        <v>OK</v>
      </c>
      <c r="K290" s="160" t="s">
        <v>1775</v>
      </c>
    </row>
    <row r="291" spans="1:11">
      <c r="A291" s="159" t="str">
        <f>"AMLA_VR_" &amp; B291 &amp; "_" &amp; C291 &amp; "_" &amp; TEXT(COUNTIFS($B$2:B291, B291, $C$2:C291, C291), "00")</f>
        <v>AMLA_VR_AML.04.06_C0030_03</v>
      </c>
      <c r="B291" s="157" t="s">
        <v>247</v>
      </c>
      <c r="C291" s="157" t="s">
        <v>83</v>
      </c>
      <c r="D291" s="157" t="s">
        <v>1551</v>
      </c>
      <c r="E291" s="160" t="str" cm="1">
        <f t="array" aca="1" ref="E291" ca="1">IF(C291="", INDIRECT("'"&amp;B291&amp;"'!B3"), INDEX(INDIRECT("'"&amp;B291&amp;"'!5:5"), COLUMN(INDIRECT("'"&amp;B291&amp;"'!"&amp;D291))))</f>
        <v>E-money Transactions (Incoming) - Value</v>
      </c>
      <c r="F291" s="157" t="s">
        <v>1772</v>
      </c>
      <c r="G291" s="157" t="s">
        <v>1813</v>
      </c>
      <c r="H291" s="158" t="s">
        <v>1859</v>
      </c>
      <c r="I291" s="171" t="str">
        <f>IF(AND('AML.04.06'!$D$11=0, 'AML.04.06'!$B$11&gt;0), $G291 &amp; ": " &amp; $H291, "OK")</f>
        <v>OK</v>
      </c>
      <c r="J291" s="157" t="str">
        <f>IF(LEN(IF(VLOOKUP("AMLA_VR_AML.04.06_C0030_01",$A:$I,9,0)&lt;&gt;"OK",CHAR(10)&amp;VLOOKUP("AMLA_VR_AML.04.06_C0030_01",$A:$I,9,0),"")&amp;IF(VLOOKUP("AMLA_VR_AML.04.06_C0030_02",$A:$I,9,0)&lt;&gt;"OK",CHAR(10)&amp;VLOOKUP("AMLA_VR_AML.04.06_C0030_02",$A:$I,9,0),"")&amp;IF(VLOOKUP("AMLA_VR_AML.04.06_C0030_03",$A:$I,9,0)&lt;&gt;"OK",CHAR(10)&amp;VLOOKUP("AMLA_VR_AML.04.06_C0030_03",$A:$I,9,0),""))=0,"OK",MID(IF(VLOOKUP("AMLA_VR_AML.04.06_C0030_01",$A:$I,9,0)&lt;&gt;"OK",CHAR(10)&amp;VLOOKUP("AMLA_VR_AML.04.06_C0030_01",$A:$I,9,0),"")&amp;IF(VLOOKUP("AMLA_VR_AML.04.06_C0030_02",$A:$I,9,0)&lt;&gt;"OK",CHAR(10)&amp;VLOOKUP("AMLA_VR_AML.04.06_C0030_02",$A:$I,9,0),"")&amp;IF(VLOOKUP("AMLA_VR_AML.04.06_C0030_03",$A:$I,9,0)&lt;&gt;"OK",CHAR(10)&amp;VLOOKUP("AMLA_VR_AML.04.06_C0030_03",$A:$I,9,0),""),2,3000))</f>
        <v>OK</v>
      </c>
      <c r="K291" s="157" t="s">
        <v>1775</v>
      </c>
    </row>
    <row r="292" spans="1:11">
      <c r="A292" s="159" t="str">
        <f>"AMLA_VR_" &amp; B292 &amp; "_" &amp; C292 &amp; "_" &amp; TEXT(COUNTIFS($B$2:B292, B292, $C$2:C292, C292), "00")</f>
        <v>AMLA_VR_AML.04.06_C0040_01</v>
      </c>
      <c r="B292" s="160" t="s">
        <v>247</v>
      </c>
      <c r="C292" s="160" t="s">
        <v>84</v>
      </c>
      <c r="D292" s="160" t="s">
        <v>1552</v>
      </c>
      <c r="E292" s="160" t="str" cm="1">
        <f t="array" aca="1" ref="E292" ca="1">IF(C292="", INDIRECT("'"&amp;B292&amp;"'!B3"), INDEX(INDIRECT("'"&amp;B292&amp;"'!5:5"), COLUMN(INDIRECT("'"&amp;B292&amp;"'!"&amp;D292))))</f>
        <v>E-money Transactions (Outgoing) - Value</v>
      </c>
      <c r="F292" s="160" t="s">
        <v>1772</v>
      </c>
      <c r="G292" s="160" t="s">
        <v>1773</v>
      </c>
      <c r="H292" s="161" t="s">
        <v>1821</v>
      </c>
      <c r="I292" s="57" t="str">
        <f>IF('AML.04.06'!$E$11&lt;0, $G292 &amp; ": " &amp; $H292, "OK")</f>
        <v>OK</v>
      </c>
      <c r="J292" s="160" t="str">
        <f>IF(LEN(IF(VLOOKUP("AMLA_VR_AML.04.06_C0040_01",$A:$I,9,0)&lt;&gt;"OK",CHAR(10)&amp;VLOOKUP("AMLA_VR_AML.04.06_C0040_01",$A:$I,9,0),"")&amp;IF(VLOOKUP("AMLA_VR_AML.04.06_C0040_02",$A:$I,9,0)&lt;&gt;"OK",CHAR(10)&amp;VLOOKUP("AMLA_VR_AML.04.06_C0040_02",$A:$I,9,0),"")&amp;IF(VLOOKUP("AMLA_VR_AML.04.06_C0040_03",$A:$I,9,0)&lt;&gt;"OK",CHAR(10)&amp;VLOOKUP("AMLA_VR_AML.04.06_C0040_03",$A:$I,9,0),""))=0,"OK",MID(IF(VLOOKUP("AMLA_VR_AML.04.06_C0040_01",$A:$I,9,0)&lt;&gt;"OK",CHAR(10)&amp;VLOOKUP("AMLA_VR_AML.04.06_C0040_01",$A:$I,9,0),"")&amp;IF(VLOOKUP("AMLA_VR_AML.04.06_C0040_02",$A:$I,9,0)&lt;&gt;"OK",CHAR(10)&amp;VLOOKUP("AMLA_VR_AML.04.06_C0040_02",$A:$I,9,0),"")&amp;IF(VLOOKUP("AMLA_VR_AML.04.06_C0040_03",$A:$I,9,0)&lt;&gt;"OK",CHAR(10)&amp;VLOOKUP("AMLA_VR_AML.04.06_C0040_03",$A:$I,9,0),""),2,3000))</f>
        <v>OK</v>
      </c>
      <c r="K292" s="160" t="s">
        <v>1775</v>
      </c>
    </row>
    <row r="293" spans="1:11">
      <c r="A293" s="159" t="str">
        <f>"AMLA_VR_" &amp; B293 &amp; "_" &amp; C293 &amp; "_" &amp; TEXT(COUNTIFS($B$2:B293, B293, $C$2:C293, C293), "00")</f>
        <v>AMLA_VR_AML.04.06_C0040_02</v>
      </c>
      <c r="B293" s="157" t="s">
        <v>247</v>
      </c>
      <c r="C293" s="157" t="s">
        <v>84</v>
      </c>
      <c r="D293" s="157" t="s">
        <v>1552</v>
      </c>
      <c r="E293" s="160" t="str" cm="1">
        <f t="array" aca="1" ref="E293" ca="1">IF(C293="", INDIRECT("'"&amp;B293&amp;"'!B3"), INDEX(INDIRECT("'"&amp;B293&amp;"'!5:5"), COLUMN(INDIRECT("'"&amp;B293&amp;"'!"&amp;D293))))</f>
        <v>E-money Transactions (Outgoing) - Value</v>
      </c>
      <c r="F293" s="157" t="s">
        <v>1776</v>
      </c>
      <c r="G293" s="157" t="s">
        <v>1773</v>
      </c>
      <c r="H293" s="158" t="s">
        <v>1837</v>
      </c>
      <c r="I293" s="171" t="str">
        <f>IF(TRIM(SUBSTITUTE('AML.04.06'!$E$11&amp;"",CHAR(160),""))="","OK",IF(NOT(ISNUMBER('AML.04.06'!$E$11)),$G293&amp;": "&amp;$H293,"OK"))</f>
        <v>OK</v>
      </c>
      <c r="J293" s="157" t="str">
        <f>IF(LEN(IF(VLOOKUP("AMLA_VR_AML.04.06_C0040_01",$A:$I,9,0)&lt;&gt;"OK",CHAR(10)&amp;VLOOKUP("AMLA_VR_AML.04.06_C0040_01",$A:$I,9,0),"")&amp;IF(VLOOKUP("AMLA_VR_AML.04.06_C0040_02",$A:$I,9,0)&lt;&gt;"OK",CHAR(10)&amp;VLOOKUP("AMLA_VR_AML.04.06_C0040_02",$A:$I,9,0),"")&amp;IF(VLOOKUP("AMLA_VR_AML.04.06_C0040_03",$A:$I,9,0)&lt;&gt;"OK",CHAR(10)&amp;VLOOKUP("AMLA_VR_AML.04.06_C0040_03",$A:$I,9,0),""))=0,"OK",MID(IF(VLOOKUP("AMLA_VR_AML.04.06_C0040_01",$A:$I,9,0)&lt;&gt;"OK",CHAR(10)&amp;VLOOKUP("AMLA_VR_AML.04.06_C0040_01",$A:$I,9,0),"")&amp;IF(VLOOKUP("AMLA_VR_AML.04.06_C0040_02",$A:$I,9,0)&lt;&gt;"OK",CHAR(10)&amp;VLOOKUP("AMLA_VR_AML.04.06_C0040_02",$A:$I,9,0),"")&amp;IF(VLOOKUP("AMLA_VR_AML.04.06_C0040_03",$A:$I,9,0)&lt;&gt;"OK",CHAR(10)&amp;VLOOKUP("AMLA_VR_AML.04.06_C0040_03",$A:$I,9,0),""),2,3000))</f>
        <v>OK</v>
      </c>
      <c r="K293" s="157" t="s">
        <v>1775</v>
      </c>
    </row>
    <row r="294" spans="1:11">
      <c r="A294" s="159" t="str">
        <f>"AMLA_VR_" &amp; B294 &amp; "_" &amp; C294 &amp; "_" &amp; TEXT(COUNTIFS($B$2:B294, B294, $C$2:C294, C294), "00")</f>
        <v>AMLA_VR_AML.04.06_C0040_03</v>
      </c>
      <c r="B294" s="157" t="s">
        <v>247</v>
      </c>
      <c r="C294" s="157" t="s">
        <v>84</v>
      </c>
      <c r="D294" s="157" t="s">
        <v>1552</v>
      </c>
      <c r="E294" s="160" t="str" cm="1">
        <f t="array" aca="1" ref="E294" ca="1">IF(C294="", INDIRECT("'"&amp;B294&amp;"'!B3"), INDEX(INDIRECT("'"&amp;B294&amp;"'!5:5"), COLUMN(INDIRECT("'"&amp;B294&amp;"'!"&amp;D294))))</f>
        <v>E-money Transactions (Outgoing) - Value</v>
      </c>
      <c r="F294" s="157" t="s">
        <v>1772</v>
      </c>
      <c r="G294" s="157" t="s">
        <v>1813</v>
      </c>
      <c r="H294" s="158" t="s">
        <v>1860</v>
      </c>
      <c r="I294" s="171" t="str">
        <f>IF(AND('AML.04.06'!$E$11=0, 'AML.04.06'!$C$11&gt;0), $G294 &amp; ": " &amp; $H294, "OK")</f>
        <v>OK</v>
      </c>
      <c r="J294" s="157" t="str">
        <f>IF(LEN(IF(VLOOKUP("AMLA_VR_AML.04.06_C0040_01",$A:$I,9,0)&lt;&gt;"OK",CHAR(10)&amp;VLOOKUP("AMLA_VR_AML.04.06_C0040_01",$A:$I,9,0),"")&amp;IF(VLOOKUP("AMLA_VR_AML.04.06_C0040_02",$A:$I,9,0)&lt;&gt;"OK",CHAR(10)&amp;VLOOKUP("AMLA_VR_AML.04.06_C0040_02",$A:$I,9,0),"")&amp;IF(VLOOKUP("AMLA_VR_AML.04.06_C0040_03",$A:$I,9,0)&lt;&gt;"OK",CHAR(10)&amp;VLOOKUP("AMLA_VR_AML.04.06_C0040_03",$A:$I,9,0),""))=0,"OK",MID(IF(VLOOKUP("AMLA_VR_AML.04.06_C0040_01",$A:$I,9,0)&lt;&gt;"OK",CHAR(10)&amp;VLOOKUP("AMLA_VR_AML.04.06_C0040_01",$A:$I,9,0),"")&amp;IF(VLOOKUP("AMLA_VR_AML.04.06_C0040_02",$A:$I,9,0)&lt;&gt;"OK",CHAR(10)&amp;VLOOKUP("AMLA_VR_AML.04.06_C0040_02",$A:$I,9,0),"")&amp;IF(VLOOKUP("AMLA_VR_AML.04.06_C0040_03",$A:$I,9,0)&lt;&gt;"OK",CHAR(10)&amp;VLOOKUP("AMLA_VR_AML.04.06_C0040_03",$A:$I,9,0),""),2,3000))</f>
        <v>OK</v>
      </c>
      <c r="K294" s="157" t="s">
        <v>1775</v>
      </c>
    </row>
    <row r="295" spans="1:11">
      <c r="A295" s="159" t="str">
        <f>"AMLA_VR_" &amp; B295 &amp; "_" &amp; C295 &amp; "_" &amp; TEXT(COUNTIFS($B$2:B295, B295, $C$2:C295, C295), "00")</f>
        <v>AMLA_VR_AML.04.06_C0050_01</v>
      </c>
      <c r="B295" s="160" t="s">
        <v>247</v>
      </c>
      <c r="C295" s="160" t="s">
        <v>85</v>
      </c>
      <c r="D295" s="160" t="s">
        <v>1553</v>
      </c>
      <c r="E295" s="160" t="str" cm="1">
        <f t="array" aca="1" ref="E295" ca="1">IF(C295="", INDIRECT("'"&amp;B295&amp;"'!B3"), INDEX(INDIRECT("'"&amp;B295&amp;"'!5:5"), COLUMN(INDIRECT("'"&amp;B295&amp;"'!"&amp;D295))))</f>
        <v>E-money Transactions (Non-identified Customers) - Value</v>
      </c>
      <c r="F295" s="160" t="s">
        <v>1772</v>
      </c>
      <c r="G295" s="160" t="s">
        <v>1773</v>
      </c>
      <c r="H295" s="161" t="s">
        <v>1822</v>
      </c>
      <c r="I295" s="57" t="str">
        <f>IF('AML.04.06'!$F$11&lt;0, $G295 &amp; ": " &amp; $H295, "OK")</f>
        <v>OK</v>
      </c>
      <c r="J295" s="160" t="str">
        <f>IF(LEN(IF(VLOOKUP("AMLA_VR_AML.04.06_C0050_01",$A:$I,9,0)&lt;&gt;"OK",CHAR(10)&amp;VLOOKUP("AMLA_VR_AML.04.06_C0050_01",$A:$I,9,0),"")&amp;IF(VLOOKUP("AMLA_VR_AML.04.06_C0050_02",$A:$I,9,0)&lt;&gt;"OK",CHAR(10)&amp;VLOOKUP("AMLA_VR_AML.04.06_C0050_02",$A:$I,9,0),""))=0,"OK",MID(IF(VLOOKUP("AMLA_VR_AML.04.06_C0050_01",$A:$I,9,0)&lt;&gt;"OK",CHAR(10)&amp;VLOOKUP("AMLA_VR_AML.04.06_C0050_01",$A:$I,9,0),"")&amp;IF(VLOOKUP("AMLA_VR_AML.04.06_C0050_02",$A:$I,9,0)&lt;&gt;"OK",CHAR(10)&amp;VLOOKUP("AMLA_VR_AML.04.06_C0050_02",$A:$I,9,0),""),2,3000))</f>
        <v>OK</v>
      </c>
      <c r="K295" s="160" t="s">
        <v>1775</v>
      </c>
    </row>
    <row r="296" spans="1:11">
      <c r="A296" s="159" t="str">
        <f>"AMLA_VR_" &amp; B296 &amp; "_" &amp; C296 &amp; "_" &amp; TEXT(COUNTIFS($B$2:B296, B296, $C$2:C296, C296), "00")</f>
        <v>AMLA_VR_AML.04.06_C0050_02</v>
      </c>
      <c r="B296" s="160" t="s">
        <v>247</v>
      </c>
      <c r="C296" s="160" t="s">
        <v>85</v>
      </c>
      <c r="D296" s="160" t="s">
        <v>1553</v>
      </c>
      <c r="E296" s="160" t="str" cm="1">
        <f t="array" aca="1" ref="E296" ca="1">IF(C296="", INDIRECT("'"&amp;B296&amp;"'!B3"), INDEX(INDIRECT("'"&amp;B296&amp;"'!5:5"), COLUMN(INDIRECT("'"&amp;B296&amp;"'!"&amp;D296))))</f>
        <v>E-money Transactions (Non-identified Customers) - Value</v>
      </c>
      <c r="F296" s="160" t="s">
        <v>1776</v>
      </c>
      <c r="G296" s="160" t="s">
        <v>1773</v>
      </c>
      <c r="H296" s="161" t="s">
        <v>1837</v>
      </c>
      <c r="I296" s="160" t="str">
        <f>IF(TRIM(SUBSTITUTE('AML.04.06'!$F$11&amp;"",CHAR(160),""))="","OK",IF(NOT(ISNUMBER('AML.04.06'!$F$11)),$G296&amp;": "&amp;$H296,"OK"))</f>
        <v>OK</v>
      </c>
      <c r="J296" s="160" t="str">
        <f>IF(LEN(IF(VLOOKUP("AMLA_VR_AML.04.06_C0050_01",$A:$I,9,0)&lt;&gt;"OK",CHAR(10)&amp;VLOOKUP("AMLA_VR_AML.04.06_C0050_01",$A:$I,9,0),"")&amp;IF(VLOOKUP("AMLA_VR_AML.04.06_C0050_02",$A:$I,9,0)&lt;&gt;"OK",CHAR(10)&amp;VLOOKUP("AMLA_VR_AML.04.06_C0050_02",$A:$I,9,0),""))=0,"OK",MID(IF(VLOOKUP("AMLA_VR_AML.04.06_C0050_01",$A:$I,9,0)&lt;&gt;"OK",CHAR(10)&amp;VLOOKUP("AMLA_VR_AML.04.06_C0050_01",$A:$I,9,0),"")&amp;IF(VLOOKUP("AMLA_VR_AML.04.06_C0050_02",$A:$I,9,0)&lt;&gt;"OK",CHAR(10)&amp;VLOOKUP("AMLA_VR_AML.04.06_C0050_02",$A:$I,9,0),""),2,3000))</f>
        <v>OK</v>
      </c>
      <c r="K296" s="160" t="s">
        <v>1775</v>
      </c>
    </row>
    <row r="297" spans="1:11">
      <c r="A297" s="159" t="str">
        <f>"AMLA_VR_" &amp; B297 &amp; "_" &amp; C297 &amp; "_" &amp; TEXT(COUNTIFS($B$2:B297, B297, $C$2:C297, C297), "00")</f>
        <v>AMLA_VR_AML.04.07_C0010_01</v>
      </c>
      <c r="B297" s="157" t="s">
        <v>255</v>
      </c>
      <c r="C297" s="157" t="s">
        <v>81</v>
      </c>
      <c r="D297" s="157" t="s">
        <v>1549</v>
      </c>
      <c r="E297" s="160" t="str" cm="1">
        <f t="array" aca="1" ref="E297" ca="1">IF(C297="", INDIRECT("'"&amp;B297&amp;"'!B3"), INDEX(INDIRECT("'"&amp;B297&amp;"'!5:5"), COLUMN(INDIRECT("'"&amp;B297&amp;"'!"&amp;D297))))</f>
        <v>TCSP Customers (Legal Entities)</v>
      </c>
      <c r="F297" s="157" t="s">
        <v>1772</v>
      </c>
      <c r="G297" s="157" t="s">
        <v>1773</v>
      </c>
      <c r="H297" s="158" t="s">
        <v>1815</v>
      </c>
      <c r="I297" s="157" t="str">
        <f>IF('AML.04.07'!$B$11&lt;0, $G297 &amp; ": " &amp; $H297, "OK")</f>
        <v>OK</v>
      </c>
      <c r="J297" s="157" t="str">
        <f>IF(LEN(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0,"OK",MID(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2,3000))</f>
        <v>OK</v>
      </c>
      <c r="K297" s="157" t="s">
        <v>1775</v>
      </c>
    </row>
    <row r="298" spans="1:11">
      <c r="A298" s="159" t="str">
        <f>"AMLA_VR_" &amp; B298 &amp; "_" &amp; C298 &amp; "_" &amp; TEXT(COUNTIFS($B$2:B298, B298, $C$2:C298, C298), "00")</f>
        <v>AMLA_VR_AML.04.07_C0010_02</v>
      </c>
      <c r="B298" s="160" t="s">
        <v>255</v>
      </c>
      <c r="C298" s="160" t="s">
        <v>81</v>
      </c>
      <c r="D298" s="160" t="s">
        <v>1549</v>
      </c>
      <c r="E298" s="160" t="str" cm="1">
        <f t="array" aca="1" ref="E298" ca="1">IF(C298="", INDIRECT("'"&amp;B298&amp;"'!B3"), INDEX(INDIRECT("'"&amp;B298&amp;"'!5:5"), COLUMN(INDIRECT("'"&amp;B298&amp;"'!"&amp;D298))))</f>
        <v>TCSP Customers (Legal Entities)</v>
      </c>
      <c r="F298" s="160" t="s">
        <v>1772</v>
      </c>
      <c r="G298" s="160" t="s">
        <v>1773</v>
      </c>
      <c r="H298" s="161" t="s">
        <v>1861</v>
      </c>
      <c r="I298" s="160" t="str">
        <f>IF('AML.04.07'!$B$11 &gt; 'AML.02.01'!$B$11, $G298 &amp; ": " &amp; $H298, "OK")</f>
        <v>OK</v>
      </c>
      <c r="J298" s="160" t="str">
        <f>IF(LEN(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0,"OK",MID(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2,3000))</f>
        <v>OK</v>
      </c>
      <c r="K298" s="160" t="s">
        <v>1775</v>
      </c>
    </row>
    <row r="299" spans="1:11">
      <c r="A299" s="159" t="str">
        <f>"AMLA_VR_" &amp; B299 &amp; "_" &amp; C299 &amp; "_" &amp; TEXT(COUNTIFS($B$2:B299, B299, $C$2:C299, C299), "00")</f>
        <v>AMLA_VR_AML.04.07_C0010_03</v>
      </c>
      <c r="B299" s="157" t="s">
        <v>255</v>
      </c>
      <c r="C299" s="157" t="s">
        <v>81</v>
      </c>
      <c r="D299" s="157" t="s">
        <v>1549</v>
      </c>
      <c r="E299" s="160" t="str" cm="1">
        <f t="array" aca="1" ref="E299" ca="1">IF(C299="", INDIRECT("'"&amp;B299&amp;"'!B3"), INDEX(INDIRECT("'"&amp;B299&amp;"'!5:5"), COLUMN(INDIRECT("'"&amp;B299&amp;"'!"&amp;D299))))</f>
        <v>TCSP Customers (Legal Entities)</v>
      </c>
      <c r="F299" s="157" t="s">
        <v>1772</v>
      </c>
      <c r="G299" s="157" t="s">
        <v>1773</v>
      </c>
      <c r="H299" s="158" t="s">
        <v>1865</v>
      </c>
      <c r="I299" s="157" t="str">
        <f>IF('AML.04.07'!$B$11 &gt; 'AML.02.01'!$D$11, $G299 &amp; ": " &amp; $H299, "OK")</f>
        <v>OK</v>
      </c>
      <c r="J299" s="157" t="str">
        <f>IF(LEN(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0,"OK",MID(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2,3000))</f>
        <v>OK</v>
      </c>
      <c r="K299" s="157" t="s">
        <v>1775</v>
      </c>
    </row>
    <row r="300" spans="1:11">
      <c r="A300" s="159" t="str">
        <f>"AMLA_VR_" &amp; B300 &amp; "_" &amp; C300 &amp; "_" &amp; TEXT(COUNTIFS($B$2:B300, B300, $C$2:C300, C300), "00")</f>
        <v>AMLA_VR_AML.04.07_C0010_04</v>
      </c>
      <c r="B300" s="157" t="s">
        <v>255</v>
      </c>
      <c r="C300" s="157" t="s">
        <v>81</v>
      </c>
      <c r="D300" s="157" t="s">
        <v>1549</v>
      </c>
      <c r="E300" s="160" t="str" cm="1">
        <f t="array" aca="1" ref="E300" ca="1">IF(C300="", INDIRECT("'"&amp;B300&amp;"'!B3"), INDEX(INDIRECT("'"&amp;B300&amp;"'!5:5"), COLUMN(INDIRECT("'"&amp;B300&amp;"'!"&amp;D300))))</f>
        <v>TCSP Customers (Legal Entities)</v>
      </c>
      <c r="F300" s="157" t="s">
        <v>1776</v>
      </c>
      <c r="G300" s="157" t="s">
        <v>1773</v>
      </c>
      <c r="H300" s="158" t="s">
        <v>1816</v>
      </c>
      <c r="I300" s="157" t="str">
        <f>IF(TRIM(SUBSTITUTE('AML.04.07'!$B$11&amp;"",CHAR(160),""))="","OK",IF(OR(NOT(ISNUMBER('AML.04.07'!$B$11)),IFERROR(INT('AML.04.07'!$B$11)&lt;&gt;'AML.04.07'!$B$11,TRUE)),$G300&amp;": "&amp;$H300,"OK"))</f>
        <v>OK</v>
      </c>
      <c r="J300" s="157" t="str">
        <f>IF(LEN(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0,"OK",MID(IF(VLOOKUP("AMLA_VR_AML.04.07_C0010_01",$A:$I,9,0)&lt;&gt;"OK",CHAR(10)&amp;VLOOKUP("AMLA_VR_AML.04.07_C0010_01",$A:$I,9,0),"")&amp;IF(VLOOKUP("AMLA_VR_AML.04.07_C0010_02",$A:$I,9,0)&lt;&gt;"OK",CHAR(10)&amp;VLOOKUP("AMLA_VR_AML.04.07_C0010_02",$A:$I,9,0),"")&amp;IF(VLOOKUP("AMLA_VR_AML.04.07_C0010_03",$A:$I,9,0)&lt;&gt;"OK",CHAR(10)&amp;VLOOKUP("AMLA_VR_AML.04.07_C0010_03",$A:$I,9,0),"")&amp;IF(VLOOKUP("AMLA_VR_AML.04.07_C0010_04",$A:$I,9,0)&lt;&gt;"OK",CHAR(10)&amp;VLOOKUP("AMLA_VR_AML.04.07_C0010_04",$A:$I,9,0),""),2,3000))</f>
        <v>OK</v>
      </c>
      <c r="K300" s="157" t="s">
        <v>1775</v>
      </c>
    </row>
    <row r="301" spans="1:11">
      <c r="A301" s="159" t="str">
        <f>"AMLA_VR_" &amp; B301 &amp; "_" &amp; C301 &amp; "_" &amp; TEXT(COUNTIFS($B$2:B301, B301, $C$2:C301, C301), "00")</f>
        <v>AMLA_VR_AML.04.08_C0010_01</v>
      </c>
      <c r="B301" s="160" t="s">
        <v>258</v>
      </c>
      <c r="C301" s="160" t="s">
        <v>81</v>
      </c>
      <c r="D301" s="160" t="s">
        <v>1549</v>
      </c>
      <c r="E301" s="160" t="str" cm="1">
        <f t="array" aca="1" ref="E301" ca="1">IF(C301="", INDIRECT("'"&amp;B301&amp;"'!B3"), INDEX(INDIRECT("'"&amp;B301&amp;"'!5:5"), COLUMN(INDIRECT("'"&amp;B301&amp;"'!"&amp;D301))))</f>
        <v>Non-EEA Crypto Companies (BIN-sponsored)</v>
      </c>
      <c r="F301" s="160" t="s">
        <v>1772</v>
      </c>
      <c r="G301" s="160" t="s">
        <v>1773</v>
      </c>
      <c r="H301" s="161" t="s">
        <v>1815</v>
      </c>
      <c r="I301" s="160" t="str">
        <f>IF('AML.04.08'!$B$11&lt;0, $G301 &amp; ": " &amp; $H301, "OK")</f>
        <v>OK</v>
      </c>
      <c r="J301" s="160" t="str">
        <f>IF(LEN(IF(VLOOKUP("AMLA_VR_AML.04.08_C0010_01",$A:$I,9,0)&lt;&gt;"OK",CHAR(10)&amp;VLOOKUP("AMLA_VR_AML.04.08_C0010_01",$A:$I,9,0),"")&amp;IF(VLOOKUP("AMLA_VR_AML.04.08_C0010_02",$A:$I,9,0)&lt;&gt;"OK",CHAR(10)&amp;VLOOKUP("AMLA_VR_AML.04.08_C0010_02",$A:$I,9,0),""))=0,"OK",MID(IF(VLOOKUP("AMLA_VR_AML.04.08_C0010_01",$A:$I,9,0)&lt;&gt;"OK",CHAR(10)&amp;VLOOKUP("AMLA_VR_AML.04.08_C0010_01",$A:$I,9,0),"")&amp;IF(VLOOKUP("AMLA_VR_AML.04.08_C0010_02",$A:$I,9,0)&lt;&gt;"OK",CHAR(10)&amp;VLOOKUP("AMLA_VR_AML.04.08_C0010_02",$A:$I,9,0),""),2,3000))</f>
        <v>OK</v>
      </c>
      <c r="K301" s="160" t="s">
        <v>1775</v>
      </c>
    </row>
    <row r="302" spans="1:11">
      <c r="A302" s="159" t="str">
        <f>"AMLA_VR_" &amp; B302 &amp; "_" &amp; C302 &amp; "_" &amp; TEXT(COUNTIFS($B$2:B302, B302, $C$2:C302, C302), "00")</f>
        <v>AMLA_VR_AML.04.08_C0010_02</v>
      </c>
      <c r="B302" s="160" t="s">
        <v>258</v>
      </c>
      <c r="C302" s="160" t="s">
        <v>81</v>
      </c>
      <c r="D302" s="160" t="s">
        <v>1549</v>
      </c>
      <c r="E302" s="160" t="str" cm="1">
        <f t="array" aca="1" ref="E302" ca="1">IF(C302="", INDIRECT("'"&amp;B302&amp;"'!B3"), INDEX(INDIRECT("'"&amp;B302&amp;"'!5:5"), COLUMN(INDIRECT("'"&amp;B302&amp;"'!"&amp;D302))))</f>
        <v>Non-EEA Crypto Companies (BIN-sponsored)</v>
      </c>
      <c r="F302" s="160" t="s">
        <v>1776</v>
      </c>
      <c r="G302" s="160" t="s">
        <v>1773</v>
      </c>
      <c r="H302" s="161" t="s">
        <v>1816</v>
      </c>
      <c r="I302" s="160" t="str">
        <f>IF(TRIM(SUBSTITUTE('AML.04.08'!$B$11&amp;"",CHAR(160),""))="","OK",IF(OR(NOT(ISNUMBER('AML.04.08'!$B$11)),IFERROR(INT('AML.04.08'!$B$11)&lt;&gt;'AML.04.08'!$B$11,TRUE)),$G302&amp;": "&amp;$H302,"OK"))</f>
        <v>OK</v>
      </c>
      <c r="J302" s="160" t="str">
        <f>IF(LEN(IF(VLOOKUP("AMLA_VR_AML.04.08_C0010_01",$A:$I,9,0)&lt;&gt;"OK",CHAR(10)&amp;VLOOKUP("AMLA_VR_AML.04.08_C0010_01",$A:$I,9,0),"")&amp;IF(VLOOKUP("AMLA_VR_AML.04.08_C0010_02",$A:$I,9,0)&lt;&gt;"OK",CHAR(10)&amp;VLOOKUP("AMLA_VR_AML.04.08_C0010_02",$A:$I,9,0),""))=0,"OK",MID(IF(VLOOKUP("AMLA_VR_AML.04.08_C0010_01",$A:$I,9,0)&lt;&gt;"OK",CHAR(10)&amp;VLOOKUP("AMLA_VR_AML.04.08_C0010_01",$A:$I,9,0),"")&amp;IF(VLOOKUP("AMLA_VR_AML.04.08_C0010_02",$A:$I,9,0)&lt;&gt;"OK",CHAR(10)&amp;VLOOKUP("AMLA_VR_AML.04.08_C0010_02",$A:$I,9,0),""),2,3000))</f>
        <v>OK</v>
      </c>
      <c r="K302" s="160" t="s">
        <v>1775</v>
      </c>
    </row>
    <row r="303" spans="1:11">
      <c r="A303" s="159" t="str">
        <f>"AMLA_VR_" &amp; B303 &amp; "_" &amp; C303 &amp; "_" &amp; TEXT(COUNTIFS($B$2:B303, B303, $C$2:C303, C303), "00")</f>
        <v>AMLA_VR_AML.04.09_C0010_01</v>
      </c>
      <c r="B303" s="157" t="s">
        <v>261</v>
      </c>
      <c r="C303" s="157" t="s">
        <v>81</v>
      </c>
      <c r="D303" s="157" t="s">
        <v>1549</v>
      </c>
      <c r="E303" s="160" t="str" cm="1">
        <f t="array" aca="1" ref="E303" ca="1">IF(C303="", INDIRECT("'"&amp;B303&amp;"'!B3"), INDEX(INDIRECT("'"&amp;B303&amp;"'!5:5"), COLUMN(INDIRECT("'"&amp;B303&amp;"'!"&amp;D303))))</f>
        <v>Customers holding Crypto-assets - Number</v>
      </c>
      <c r="F303" s="157" t="s">
        <v>1772</v>
      </c>
      <c r="G303" s="157" t="s">
        <v>1773</v>
      </c>
      <c r="H303" s="158" t="s">
        <v>1815</v>
      </c>
      <c r="I303" s="157" t="str">
        <f>IF('AML.04.09'!$B$11&lt;0, $G303 &amp; ": " &amp; $H303, "OK")</f>
        <v>OK</v>
      </c>
      <c r="J303" s="157" t="str">
        <f>IF(LEN(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0,"OK",MID(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2,3000))</f>
        <v>OK</v>
      </c>
      <c r="K303" s="157" t="s">
        <v>1775</v>
      </c>
    </row>
    <row r="304" spans="1:11">
      <c r="A304" s="159" t="str">
        <f>"AMLA_VR_" &amp; B304 &amp; "_" &amp; C304 &amp; "_" &amp; TEXT(COUNTIFS($B$2:B304, B304, $C$2:C304, C304), "00")</f>
        <v>AMLA_VR_AML.04.09_C0010_02</v>
      </c>
      <c r="B304" s="157" t="s">
        <v>261</v>
      </c>
      <c r="C304" s="157" t="s">
        <v>81</v>
      </c>
      <c r="D304" s="157" t="s">
        <v>1549</v>
      </c>
      <c r="E304" s="160" t="str" cm="1">
        <f t="array" aca="1" ref="E304" ca="1">IF(C304="", INDIRECT("'"&amp;B304&amp;"'!B3"), INDEX(INDIRECT("'"&amp;B304&amp;"'!5:5"), COLUMN(INDIRECT("'"&amp;B304&amp;"'!"&amp;D304))))</f>
        <v>Customers holding Crypto-assets - Number</v>
      </c>
      <c r="F304" s="157" t="s">
        <v>1772</v>
      </c>
      <c r="G304" s="157" t="s">
        <v>1773</v>
      </c>
      <c r="H304" s="158" t="s">
        <v>1861</v>
      </c>
      <c r="I304" s="157" t="str">
        <f>IF('AML.04.09'!$B$11 &gt; 'AML.02.01'!$B$11, $G304 &amp; ": " &amp; $H304, "OK")</f>
        <v>OK</v>
      </c>
      <c r="J304" s="157" t="str">
        <f>IF(LEN(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0,"OK",MID(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2,3000))</f>
        <v>OK</v>
      </c>
      <c r="K304" s="157" t="s">
        <v>1775</v>
      </c>
    </row>
    <row r="305" spans="1:11">
      <c r="A305" s="159" t="str">
        <f>"AMLA_VR_" &amp; B305 &amp; "_" &amp; C305 &amp; "_" &amp; TEXT(COUNTIFS($B$2:B305, B305, $C$2:C305, C305), "00")</f>
        <v>AMLA_VR_AML.04.09_C0010_03</v>
      </c>
      <c r="B305" s="157" t="s">
        <v>261</v>
      </c>
      <c r="C305" s="157" t="s">
        <v>81</v>
      </c>
      <c r="D305" s="157" t="s">
        <v>1549</v>
      </c>
      <c r="E305" s="160" t="str" cm="1">
        <f t="array" aca="1" ref="E305" ca="1">IF(C305="", INDIRECT("'"&amp;B305&amp;"'!B3"), INDEX(INDIRECT("'"&amp;B305&amp;"'!5:5"), COLUMN(INDIRECT("'"&amp;B305&amp;"'!"&amp;D305))))</f>
        <v>Customers holding Crypto-assets - Number</v>
      </c>
      <c r="F305" s="157" t="s">
        <v>1776</v>
      </c>
      <c r="G305" s="157" t="s">
        <v>1773</v>
      </c>
      <c r="H305" s="158" t="s">
        <v>1816</v>
      </c>
      <c r="I305" s="157" t="str">
        <f>IF(TRIM(SUBSTITUTE('AML.04.09'!$B$11&amp;"",CHAR(160),""))="","OK",IF(OR(NOT(ISNUMBER('AML.04.09'!$B$11)),IFERROR(INT('AML.04.09'!$B$11)&lt;&gt;'AML.04.09'!$B$11,TRUE)),$G305&amp;": "&amp;$H305,"OK"))</f>
        <v>OK</v>
      </c>
      <c r="J305" s="157" t="str">
        <f>IF(LEN(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0,"OK",MID(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2,3000))</f>
        <v>OK</v>
      </c>
      <c r="K305" s="157" t="s">
        <v>1775</v>
      </c>
    </row>
    <row r="306" spans="1:11">
      <c r="A306" s="159" t="str">
        <f>"AMLA_VR_" &amp; B306 &amp; "_" &amp; C306 &amp; "_" &amp; TEXT(COUNTIFS($B$2:B306, B306, $C$2:C306, C306), "00")</f>
        <v>AMLA_VR_AML.04.09_C0010_04</v>
      </c>
      <c r="B306" s="160" t="s">
        <v>261</v>
      </c>
      <c r="C306" s="160" t="s">
        <v>81</v>
      </c>
      <c r="D306" s="160" t="s">
        <v>1549</v>
      </c>
      <c r="E306" s="160" t="str" cm="1">
        <f t="array" aca="1" ref="E306" ca="1">IF(C306="", INDIRECT("'"&amp;B306&amp;"'!B3"), INDEX(INDIRECT("'"&amp;B306&amp;"'!5:5"), COLUMN(INDIRECT("'"&amp;B306&amp;"'!"&amp;D306))))</f>
        <v>Customers holding Crypto-assets - Number</v>
      </c>
      <c r="F306" s="160" t="s">
        <v>1772</v>
      </c>
      <c r="G306" s="160" t="s">
        <v>1813</v>
      </c>
      <c r="H306" s="161" t="s">
        <v>1842</v>
      </c>
      <c r="I306" s="160" t="str">
        <f>IF(AND('AML.04.09'!$B$11=0, 'AML.04.09'!$C$11&gt;0), $G306 &amp; ": " &amp; $H306, "OK")</f>
        <v>OK</v>
      </c>
      <c r="J306" s="160" t="str">
        <f>IF(LEN(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0,"OK",MID(IF(VLOOKUP("AMLA_VR_AML.04.09_C0010_01",$A:$I,9,0)&lt;&gt;"OK",CHAR(10)&amp;VLOOKUP("AMLA_VR_AML.04.09_C0010_01",$A:$I,9,0),"")&amp;IF(VLOOKUP("AMLA_VR_AML.04.09_C0010_02",$A:$I,9,0)&lt;&gt;"OK",CHAR(10)&amp;VLOOKUP("AMLA_VR_AML.04.09_C0010_02",$A:$I,9,0),"")&amp;IF(VLOOKUP("AMLA_VR_AML.04.09_C0010_03",$A:$I,9,0)&lt;&gt;"OK",CHAR(10)&amp;VLOOKUP("AMLA_VR_AML.04.09_C0010_03",$A:$I,9,0),"")&amp;IF(VLOOKUP("AMLA_VR_AML.04.09_C0010_04",$A:$I,9,0)&lt;&gt;"OK",CHAR(10)&amp;VLOOKUP("AMLA_VR_AML.04.09_C0010_04",$A:$I,9,0),""),2,3000))</f>
        <v>OK</v>
      </c>
      <c r="K306" s="160" t="s">
        <v>1775</v>
      </c>
    </row>
    <row r="307" spans="1:11">
      <c r="A307" s="159" t="str">
        <f>"AMLA_VR_" &amp; B307 &amp; "_" &amp; C307 &amp; "_" &amp; TEXT(COUNTIFS($B$2:B307, B307, $C$2:C307, C307), "00")</f>
        <v>AMLA_VR_AML.04.09_C0020_01</v>
      </c>
      <c r="B307" s="160" t="s">
        <v>261</v>
      </c>
      <c r="C307" s="160" t="s">
        <v>82</v>
      </c>
      <c r="D307" s="160" t="s">
        <v>1550</v>
      </c>
      <c r="E307" s="160" t="str" cm="1">
        <f t="array" aca="1" ref="E307" ca="1">IF(C307="", INDIRECT("'"&amp;B307&amp;"'!B3"), INDEX(INDIRECT("'"&amp;B307&amp;"'!5:5"), COLUMN(INDIRECT("'"&amp;B307&amp;"'!"&amp;D307))))</f>
        <v>Crypto Assets in Custody - Value</v>
      </c>
      <c r="F307" s="160" t="s">
        <v>1772</v>
      </c>
      <c r="G307" s="160" t="s">
        <v>1773</v>
      </c>
      <c r="H307" s="161" t="s">
        <v>1819</v>
      </c>
      <c r="I307" s="160" t="str">
        <f>IF('AML.04.09'!$C$11&lt;0, $G307 &amp; ": " &amp; $H307, "OK")</f>
        <v>OK</v>
      </c>
      <c r="J307" s="160" t="str">
        <f>IF(LEN(IF(VLOOKUP("AMLA_VR_AML.04.09_C0020_01",$A:$I,9,0)&lt;&gt;"OK",CHAR(10)&amp;VLOOKUP("AMLA_VR_AML.04.09_C0020_01",$A:$I,9,0),"")&amp;IF(VLOOKUP("AMLA_VR_AML.04.09_C0020_02",$A:$I,9,0)&lt;&gt;"OK",CHAR(10)&amp;VLOOKUP("AMLA_VR_AML.04.09_C0020_02",$A:$I,9,0),"")&amp;IF(VLOOKUP("AMLA_VR_AML.04.09_C0020_03",$A:$I,9,0)&lt;&gt;"OK",CHAR(10)&amp;VLOOKUP("AMLA_VR_AML.04.09_C0020_03",$A:$I,9,0),""))=0,"OK",MID(IF(VLOOKUP("AMLA_VR_AML.04.09_C0020_01",$A:$I,9,0)&lt;&gt;"OK",CHAR(10)&amp;VLOOKUP("AMLA_VR_AML.04.09_C0020_01",$A:$I,9,0),"")&amp;IF(VLOOKUP("AMLA_VR_AML.04.09_C0020_02",$A:$I,9,0)&lt;&gt;"OK",CHAR(10)&amp;VLOOKUP("AMLA_VR_AML.04.09_C0020_02",$A:$I,9,0),"")&amp;IF(VLOOKUP("AMLA_VR_AML.04.09_C0020_03",$A:$I,9,0)&lt;&gt;"OK",CHAR(10)&amp;VLOOKUP("AMLA_VR_AML.04.09_C0020_03",$A:$I,9,0),""),2,3000))</f>
        <v>OK</v>
      </c>
      <c r="K307" s="160" t="s">
        <v>1775</v>
      </c>
    </row>
    <row r="308" spans="1:11">
      <c r="A308" s="159" t="str">
        <f>"AMLA_VR_" &amp; B308 &amp; "_" &amp; C308 &amp; "_" &amp; TEXT(COUNTIFS($B$2:B308, B308, $C$2:C308, C308), "00")</f>
        <v>AMLA_VR_AML.04.09_C0020_02</v>
      </c>
      <c r="B308" s="160" t="s">
        <v>261</v>
      </c>
      <c r="C308" s="160" t="s">
        <v>82</v>
      </c>
      <c r="D308" s="160" t="s">
        <v>1550</v>
      </c>
      <c r="E308" s="160" t="str" cm="1">
        <f t="array" aca="1" ref="E308" ca="1">IF(C308="", INDIRECT("'"&amp;B308&amp;"'!B3"), INDEX(INDIRECT("'"&amp;B308&amp;"'!5:5"), COLUMN(INDIRECT("'"&amp;B308&amp;"'!"&amp;D308))))</f>
        <v>Crypto Assets in Custody - Value</v>
      </c>
      <c r="F308" s="160" t="s">
        <v>1776</v>
      </c>
      <c r="G308" s="160" t="s">
        <v>1773</v>
      </c>
      <c r="H308" s="161" t="s">
        <v>1837</v>
      </c>
      <c r="I308" s="160" t="str">
        <f>IF(TRIM(SUBSTITUTE('AML.04.09'!$C$11&amp;"",CHAR(160),""))="","OK",IF(NOT(ISNUMBER('AML.04.09'!$C$11)),$G308&amp;": "&amp;$H308,"OK"))</f>
        <v>OK</v>
      </c>
      <c r="J308" s="160" t="str">
        <f>IF(LEN(IF(VLOOKUP("AMLA_VR_AML.04.09_C0020_01",$A:$I,9,0)&lt;&gt;"OK",CHAR(10)&amp;VLOOKUP("AMLA_VR_AML.04.09_C0020_01",$A:$I,9,0),"")&amp;IF(VLOOKUP("AMLA_VR_AML.04.09_C0020_02",$A:$I,9,0)&lt;&gt;"OK",CHAR(10)&amp;VLOOKUP("AMLA_VR_AML.04.09_C0020_02",$A:$I,9,0),"")&amp;IF(VLOOKUP("AMLA_VR_AML.04.09_C0020_03",$A:$I,9,0)&lt;&gt;"OK",CHAR(10)&amp;VLOOKUP("AMLA_VR_AML.04.09_C0020_03",$A:$I,9,0),""))=0,"OK",MID(IF(VLOOKUP("AMLA_VR_AML.04.09_C0020_01",$A:$I,9,0)&lt;&gt;"OK",CHAR(10)&amp;VLOOKUP("AMLA_VR_AML.04.09_C0020_01",$A:$I,9,0),"")&amp;IF(VLOOKUP("AMLA_VR_AML.04.09_C0020_02",$A:$I,9,0)&lt;&gt;"OK",CHAR(10)&amp;VLOOKUP("AMLA_VR_AML.04.09_C0020_02",$A:$I,9,0),"")&amp;IF(VLOOKUP("AMLA_VR_AML.04.09_C0020_03",$A:$I,9,0)&lt;&gt;"OK",CHAR(10)&amp;VLOOKUP("AMLA_VR_AML.04.09_C0020_03",$A:$I,9,0),""),2,3000))</f>
        <v>OK</v>
      </c>
      <c r="K308" s="160" t="s">
        <v>1775</v>
      </c>
    </row>
    <row r="309" spans="1:11">
      <c r="A309" s="159" t="str">
        <f>"AMLA_VR_" &amp; B309 &amp; "_" &amp; C309 &amp; "_" &amp; TEXT(COUNTIFS($B$2:B309, B309, $C$2:C309, C309), "00")</f>
        <v>AMLA_VR_AML.04.09_C0020_03</v>
      </c>
      <c r="B309" s="157" t="s">
        <v>261</v>
      </c>
      <c r="C309" s="157" t="s">
        <v>82</v>
      </c>
      <c r="D309" s="157" t="s">
        <v>1550</v>
      </c>
      <c r="E309" s="160" t="str" cm="1">
        <f t="array" aca="1" ref="E309" ca="1">IF(C309="", INDIRECT("'"&amp;B309&amp;"'!B3"), INDEX(INDIRECT("'"&amp;B309&amp;"'!5:5"), COLUMN(INDIRECT("'"&amp;B309&amp;"'!"&amp;D309))))</f>
        <v>Crypto Assets in Custody - Value</v>
      </c>
      <c r="F309" s="157" t="s">
        <v>1772</v>
      </c>
      <c r="G309" s="157" t="s">
        <v>1813</v>
      </c>
      <c r="H309" s="158" t="s">
        <v>1844</v>
      </c>
      <c r="I309" s="157" t="str">
        <f>IF(AND('AML.04.09'!$C$11=0, 'AML.04.09'!$B$11&gt;0), $G309 &amp; ": " &amp; $H309, "OK")</f>
        <v>OK</v>
      </c>
      <c r="J309" s="157" t="str">
        <f>IF(LEN(IF(VLOOKUP("AMLA_VR_AML.04.09_C0020_01",$A:$I,9,0)&lt;&gt;"OK",CHAR(10)&amp;VLOOKUP("AMLA_VR_AML.04.09_C0020_01",$A:$I,9,0),"")&amp;IF(VLOOKUP("AMLA_VR_AML.04.09_C0020_02",$A:$I,9,0)&lt;&gt;"OK",CHAR(10)&amp;VLOOKUP("AMLA_VR_AML.04.09_C0020_02",$A:$I,9,0),"")&amp;IF(VLOOKUP("AMLA_VR_AML.04.09_C0020_03",$A:$I,9,0)&lt;&gt;"OK",CHAR(10)&amp;VLOOKUP("AMLA_VR_AML.04.09_C0020_03",$A:$I,9,0),""))=0,"OK",MID(IF(VLOOKUP("AMLA_VR_AML.04.09_C0020_01",$A:$I,9,0)&lt;&gt;"OK",CHAR(10)&amp;VLOOKUP("AMLA_VR_AML.04.09_C0020_01",$A:$I,9,0),"")&amp;IF(VLOOKUP("AMLA_VR_AML.04.09_C0020_02",$A:$I,9,0)&lt;&gt;"OK",CHAR(10)&amp;VLOOKUP("AMLA_VR_AML.04.09_C0020_02",$A:$I,9,0),"")&amp;IF(VLOOKUP("AMLA_VR_AML.04.09_C0020_03",$A:$I,9,0)&lt;&gt;"OK",CHAR(10)&amp;VLOOKUP("AMLA_VR_AML.04.09_C0020_03",$A:$I,9,0),""),2,3000))</f>
        <v>OK</v>
      </c>
      <c r="K309" s="157" t="s">
        <v>1775</v>
      </c>
    </row>
    <row r="310" spans="1:11">
      <c r="A310" s="159" t="str">
        <f>"AMLA_VR_" &amp; B310 &amp; "_" &amp; C310 &amp; "_" &amp; TEXT(COUNTIFS($B$2:B310, B310, $C$2:C310, C310), "00")</f>
        <v>AMLA_VR_AML.04.10_C0010_01</v>
      </c>
      <c r="B310" s="160" t="s">
        <v>265</v>
      </c>
      <c r="C310" s="160" t="s">
        <v>81</v>
      </c>
      <c r="D310" s="160" t="s">
        <v>1549</v>
      </c>
      <c r="E310" s="160" t="str" cm="1">
        <f t="array" aca="1" ref="E310" ca="1">IF(C310="", INDIRECT("'"&amp;B310&amp;"'!B3"), INDEX(INDIRECT("'"&amp;B310&amp;"'!5:5"), COLUMN(INDIRECT("'"&amp;B310&amp;"'!"&amp;D310))))</f>
        <v>Funds-to-Crypto - Value</v>
      </c>
      <c r="F310" s="160" t="s">
        <v>1772</v>
      </c>
      <c r="G310" s="160" t="s">
        <v>1773</v>
      </c>
      <c r="H310" s="161" t="s">
        <v>1815</v>
      </c>
      <c r="I310" s="160" t="str">
        <f>IF('AML.04.10'!$B$11&lt;0, $G310 &amp; ": " &amp; $H310, "OK")</f>
        <v>OK</v>
      </c>
      <c r="J310" s="160" t="str">
        <f>IF(LEN(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0,"OK",MID(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2,3000))</f>
        <v>OK</v>
      </c>
      <c r="K310" s="160" t="s">
        <v>1775</v>
      </c>
    </row>
    <row r="311" spans="1:11">
      <c r="A311" s="159" t="str">
        <f>"AMLA_VR_" &amp; B311 &amp; "_" &amp; C311 &amp; "_" &amp; TEXT(COUNTIFS($B$2:B311, B311, $C$2:C311, C311), "00")</f>
        <v>AMLA_VR_AML.04.10_C0010_02</v>
      </c>
      <c r="B311" s="157" t="s">
        <v>265</v>
      </c>
      <c r="C311" s="157" t="s">
        <v>81</v>
      </c>
      <c r="D311" s="157" t="s">
        <v>1549</v>
      </c>
      <c r="E311" s="160" t="str" cm="1">
        <f t="array" aca="1" ref="E311" ca="1">IF(C311="", INDIRECT("'"&amp;B311&amp;"'!B3"), INDEX(INDIRECT("'"&amp;B311&amp;"'!5:5"), COLUMN(INDIRECT("'"&amp;B311&amp;"'!"&amp;D311))))</f>
        <v>Funds-to-Crypto - Value</v>
      </c>
      <c r="F311" s="157" t="s">
        <v>1776</v>
      </c>
      <c r="G311" s="157" t="s">
        <v>1773</v>
      </c>
      <c r="H311" s="158" t="s">
        <v>1837</v>
      </c>
      <c r="I311" s="157" t="str">
        <f>IF(TRIM(SUBSTITUTE('AML.04.10'!$B$11&amp;"",CHAR(160),""))="","OK",IF(NOT(ISNUMBER('AML.04.10'!$B$11)),$G311&amp;": "&amp;$H311,"OK"))</f>
        <v>OK</v>
      </c>
      <c r="J311" s="157" t="str">
        <f>IF(LEN(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0,"OK",MID(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2,3000))</f>
        <v>OK</v>
      </c>
      <c r="K311" s="157" t="s">
        <v>1775</v>
      </c>
    </row>
    <row r="312" spans="1:11">
      <c r="A312" s="159" t="str">
        <f>"AMLA_VR_" &amp; B312 &amp; "_" &amp; C312 &amp; "_" &amp; TEXT(COUNTIFS($B$2:B312, B312, $C$2:C312, C312), "00")</f>
        <v>AMLA_VR_AML.04.10_C0010_03</v>
      </c>
      <c r="B312" s="157" t="s">
        <v>265</v>
      </c>
      <c r="C312" s="157" t="s">
        <v>81</v>
      </c>
      <c r="D312" s="157" t="s">
        <v>1549</v>
      </c>
      <c r="E312" s="160" t="str" cm="1">
        <f t="array" aca="1" ref="E312" ca="1">IF(C312="", INDIRECT("'"&amp;B312&amp;"'!B3"), INDEX(INDIRECT("'"&amp;B312&amp;"'!5:5"), COLUMN(INDIRECT("'"&amp;B312&amp;"'!"&amp;D312))))</f>
        <v>Funds-to-Crypto - Value</v>
      </c>
      <c r="F312" s="157" t="s">
        <v>1772</v>
      </c>
      <c r="G312" s="157" t="s">
        <v>1813</v>
      </c>
      <c r="H312" s="158" t="s">
        <v>1842</v>
      </c>
      <c r="I312" s="157" t="str">
        <f>IF(AND('AML.04.10'!$B$11=0, 'AML.04.10'!$C$11&gt;0), $G312 &amp; ": " &amp; $H312, "OK")</f>
        <v>OK</v>
      </c>
      <c r="J312" s="157" t="str">
        <f>IF(LEN(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0,"OK",MID(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2,3000))</f>
        <v>OK</v>
      </c>
      <c r="K312" s="157" t="s">
        <v>1775</v>
      </c>
    </row>
    <row r="313" spans="1:11">
      <c r="A313" s="159" t="str">
        <f>"AMLA_VR_" &amp; B313 &amp; "_" &amp; C313 &amp; "_" &amp; TEXT(COUNTIFS($B$2:B313, B313, $C$2:C313, C313), "00")</f>
        <v>AMLA_VR_AML.04.10_C0010_04</v>
      </c>
      <c r="B313" s="160" t="s">
        <v>265</v>
      </c>
      <c r="C313" s="160" t="s">
        <v>81</v>
      </c>
      <c r="D313" s="160" t="s">
        <v>1549</v>
      </c>
      <c r="E313" s="160" t="str" cm="1">
        <f t="array" aca="1" ref="E313" ca="1">IF(C313="", INDIRECT("'"&amp;B313&amp;"'!B3"), INDEX(INDIRECT("'"&amp;B313&amp;"'!5:5"), COLUMN(INDIRECT("'"&amp;B313&amp;"'!"&amp;D313))))</f>
        <v>Funds-to-Crypto - Value</v>
      </c>
      <c r="F313" s="160" t="s">
        <v>1772</v>
      </c>
      <c r="G313" s="160" t="s">
        <v>1813</v>
      </c>
      <c r="H313" s="161" t="s">
        <v>1857</v>
      </c>
      <c r="I313" s="160" t="str">
        <f>IF(AND('AML.04.10'!$B$11=0, 'AML.04.10'!$D$11&gt;0), $G313 &amp; ": " &amp; $H313, "OK")</f>
        <v>OK</v>
      </c>
      <c r="J313" s="160" t="str">
        <f>IF(LEN(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0,"OK",MID(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2,3000))</f>
        <v>OK</v>
      </c>
      <c r="K313" s="160" t="s">
        <v>1775</v>
      </c>
    </row>
    <row r="314" spans="1:11">
      <c r="A314" s="159" t="str">
        <f>"AMLA_VR_" &amp; B314 &amp; "_" &amp; C314 &amp; "_" &amp; TEXT(COUNTIFS($B$2:B314, B314, $C$2:C314, C314), "00")</f>
        <v>AMLA_VR_AML.04.10_C0010_05</v>
      </c>
      <c r="B314" s="157" t="s">
        <v>265</v>
      </c>
      <c r="C314" s="157" t="s">
        <v>81</v>
      </c>
      <c r="D314" s="157" t="s">
        <v>1549</v>
      </c>
      <c r="E314" s="160" t="str" cm="1">
        <f t="array" aca="1" ref="E314" ca="1">IF(C314="", INDIRECT("'"&amp;B314&amp;"'!B3"), INDEX(INDIRECT("'"&amp;B314&amp;"'!5:5"), COLUMN(INDIRECT("'"&amp;B314&amp;"'!"&amp;D314))))</f>
        <v>Funds-to-Crypto - Value</v>
      </c>
      <c r="F314" s="157" t="s">
        <v>1772</v>
      </c>
      <c r="G314" s="157" t="s">
        <v>1813</v>
      </c>
      <c r="H314" s="158" t="s">
        <v>1843</v>
      </c>
      <c r="I314" s="157" t="str">
        <f>IF(AND('AML.04.10'!$B$11=0, 'AML.04.10'!$E$11&gt;0), $G314 &amp; ": " &amp; $H314, "OK")</f>
        <v>OK</v>
      </c>
      <c r="J314" s="157" t="str">
        <f>IF(LEN(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0,"OK",MID(IF(VLOOKUP("AMLA_VR_AML.04.10_C0010_01",$A:$I,9,0)&lt;&gt;"OK",CHAR(10)&amp;VLOOKUP("AMLA_VR_AML.04.10_C0010_01",$A:$I,9,0),"")&amp;IF(VLOOKUP("AMLA_VR_AML.04.10_C0010_02",$A:$I,9,0)&lt;&gt;"OK",CHAR(10)&amp;VLOOKUP("AMLA_VR_AML.04.10_C0010_02",$A:$I,9,0),"")&amp;IF(VLOOKUP("AMLA_VR_AML.04.10_C0010_03",$A:$I,9,0)&lt;&gt;"OK",CHAR(10)&amp;VLOOKUP("AMLA_VR_AML.04.10_C0010_03",$A:$I,9,0),"")&amp;IF(VLOOKUP("AMLA_VR_AML.04.10_C0010_04",$A:$I,9,0)&lt;&gt;"OK",CHAR(10)&amp;VLOOKUP("AMLA_VR_AML.04.10_C0010_04",$A:$I,9,0),"")&amp;IF(VLOOKUP("AMLA_VR_AML.04.10_C0010_05",$A:$I,9,0)&lt;&gt;"OK",CHAR(10)&amp;VLOOKUP("AMLA_VR_AML.04.10_C0010_05",$A:$I,9,0),""),2,3000))</f>
        <v>OK</v>
      </c>
      <c r="K314" s="157" t="s">
        <v>1775</v>
      </c>
    </row>
    <row r="315" spans="1:11">
      <c r="A315" s="159" t="str">
        <f>"AMLA_VR_" &amp; B315 &amp; "_" &amp; C315 &amp; "_" &amp; TEXT(COUNTIFS($B$2:B315, B315, $C$2:C315, C315), "00")</f>
        <v>AMLA_VR_AML.04.10_C0020_01</v>
      </c>
      <c r="B315" s="160" t="s">
        <v>265</v>
      </c>
      <c r="C315" s="160" t="s">
        <v>82</v>
      </c>
      <c r="D315" s="160" t="s">
        <v>1550</v>
      </c>
      <c r="E315" s="160" t="str" cm="1">
        <f t="array" aca="1" ref="E315" ca="1">IF(C315="", INDIRECT("'"&amp;B315&amp;"'!B3"), INDEX(INDIRECT("'"&amp;B315&amp;"'!5:5"), COLUMN(INDIRECT("'"&amp;B315&amp;"'!"&amp;D315))))</f>
        <v>Funds-to-Crypto – Number</v>
      </c>
      <c r="F315" s="160" t="s">
        <v>1772</v>
      </c>
      <c r="G315" s="160" t="s">
        <v>1773</v>
      </c>
      <c r="H315" s="161" t="s">
        <v>1819</v>
      </c>
      <c r="I315" s="160" t="str">
        <f>IF('AML.04.10'!$C$11&lt;0, $G315 &amp; ": " &amp; $H315, "OK")</f>
        <v>OK</v>
      </c>
      <c r="J315" s="160" t="str">
        <f>IF(LEN(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0,"OK",MID(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2,3000))</f>
        <v>OK</v>
      </c>
      <c r="K315" s="160" t="s">
        <v>1775</v>
      </c>
    </row>
    <row r="316" spans="1:11">
      <c r="A316" s="159" t="str">
        <f>"AMLA_VR_" &amp; B316 &amp; "_" &amp; C316 &amp; "_" &amp; TEXT(COUNTIFS($B$2:B316, B316, $C$2:C316, C316), "00")</f>
        <v>AMLA_VR_AML.04.10_C0020_02</v>
      </c>
      <c r="B316" s="160" t="s">
        <v>265</v>
      </c>
      <c r="C316" s="160" t="s">
        <v>82</v>
      </c>
      <c r="D316" s="160" t="s">
        <v>1550</v>
      </c>
      <c r="E316" s="160" t="str" cm="1">
        <f t="array" aca="1" ref="E316" ca="1">IF(C316="", INDIRECT("'"&amp;B316&amp;"'!B3"), INDEX(INDIRECT("'"&amp;B316&amp;"'!5:5"), COLUMN(INDIRECT("'"&amp;B316&amp;"'!"&amp;D316))))</f>
        <v>Funds-to-Crypto – Number</v>
      </c>
      <c r="F316" s="160" t="s">
        <v>1776</v>
      </c>
      <c r="G316" s="160" t="s">
        <v>1773</v>
      </c>
      <c r="H316" s="161" t="s">
        <v>1816</v>
      </c>
      <c r="I316" s="160" t="str">
        <f>IF(TRIM(SUBSTITUTE('AML.04.10'!$C$11&amp;"",CHAR(160),""))="","OK",IF(OR(NOT(ISNUMBER('AML.04.10'!$C$11)),IFERROR(INT('AML.04.10'!$C$11)&lt;&gt;'AML.04.10'!$C$11,TRUE)),$G316&amp;": "&amp;$H316,"OK"))</f>
        <v>OK</v>
      </c>
      <c r="J316" s="160" t="str">
        <f>IF(LEN(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0,"OK",MID(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2,3000))</f>
        <v>OK</v>
      </c>
      <c r="K316" s="160" t="s">
        <v>1775</v>
      </c>
    </row>
    <row r="317" spans="1:11">
      <c r="A317" s="159" t="str">
        <f>"AMLA_VR_" &amp; B317 &amp; "_" &amp; C317 &amp; "_" &amp; TEXT(COUNTIFS($B$2:B317, B317, $C$2:C317, C317), "00")</f>
        <v>AMLA_VR_AML.04.10_C0020_03</v>
      </c>
      <c r="B317" s="157" t="s">
        <v>265</v>
      </c>
      <c r="C317" s="157" t="s">
        <v>82</v>
      </c>
      <c r="D317" s="157" t="s">
        <v>1550</v>
      </c>
      <c r="E317" s="160" t="str" cm="1">
        <f t="array" aca="1" ref="E317" ca="1">IF(C317="", INDIRECT("'"&amp;B317&amp;"'!B3"), INDEX(INDIRECT("'"&amp;B317&amp;"'!5:5"), COLUMN(INDIRECT("'"&amp;B317&amp;"'!"&amp;D317))))</f>
        <v>Funds-to-Crypto – Number</v>
      </c>
      <c r="F317" s="157" t="s">
        <v>1772</v>
      </c>
      <c r="G317" s="157" t="s">
        <v>1813</v>
      </c>
      <c r="H317" s="158" t="s">
        <v>1844</v>
      </c>
      <c r="I317" s="157" t="str">
        <f>IF(AND('AML.04.10'!$C$11=0, 'AML.04.10'!$B$11&gt;0), $G317 &amp; ": " &amp; $H317, "OK")</f>
        <v>OK</v>
      </c>
      <c r="J317" s="157" t="str">
        <f>IF(LEN(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0,"OK",MID(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2,3000))</f>
        <v>OK</v>
      </c>
      <c r="K317" s="157" t="s">
        <v>1775</v>
      </c>
    </row>
    <row r="318" spans="1:11">
      <c r="A318" s="159" t="str">
        <f>"AMLA_VR_" &amp; B318 &amp; "_" &amp; C318 &amp; "_" &amp; TEXT(COUNTIFS($B$2:B318, B318, $C$2:C318, C318), "00")</f>
        <v>AMLA_VR_AML.04.10_C0020_04</v>
      </c>
      <c r="B318" s="160" t="s">
        <v>265</v>
      </c>
      <c r="C318" s="160" t="s">
        <v>82</v>
      </c>
      <c r="D318" s="160" t="s">
        <v>1550</v>
      </c>
      <c r="E318" s="160" t="str" cm="1">
        <f t="array" aca="1" ref="E318" ca="1">IF(C318="", INDIRECT("'"&amp;B318&amp;"'!B3"), INDEX(INDIRECT("'"&amp;B318&amp;"'!5:5"), COLUMN(INDIRECT("'"&amp;B318&amp;"'!"&amp;D318))))</f>
        <v>Funds-to-Crypto – Number</v>
      </c>
      <c r="F318" s="160" t="s">
        <v>1772</v>
      </c>
      <c r="G318" s="160" t="s">
        <v>1813</v>
      </c>
      <c r="H318" s="161" t="s">
        <v>1838</v>
      </c>
      <c r="I318" s="160" t="str">
        <f>IF(AND('AML.04.10'!$C$11=0, 'AML.04.10'!$D$11&gt;0), $G318 &amp; ": " &amp; $H318, "OK")</f>
        <v>OK</v>
      </c>
      <c r="J318" s="160" t="str">
        <f>IF(LEN(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0,"OK",MID(IF(VLOOKUP("AMLA_VR_AML.04.10_C0020_01",$A:$I,9,0)&lt;&gt;"OK",CHAR(10)&amp;VLOOKUP("AMLA_VR_AML.04.10_C0020_01",$A:$I,9,0),"")&amp;IF(VLOOKUP("AMLA_VR_AML.04.10_C0020_02",$A:$I,9,0)&lt;&gt;"OK",CHAR(10)&amp;VLOOKUP("AMLA_VR_AML.04.10_C0020_02",$A:$I,9,0),"")&amp;IF(VLOOKUP("AMLA_VR_AML.04.10_C0020_03",$A:$I,9,0)&lt;&gt;"OK",CHAR(10)&amp;VLOOKUP("AMLA_VR_AML.04.10_C0020_03",$A:$I,9,0),"")&amp;IF(VLOOKUP("AMLA_VR_AML.04.10_C0020_04",$A:$I,9,0)&lt;&gt;"OK",CHAR(10)&amp;VLOOKUP("AMLA_VR_AML.04.10_C0020_04",$A:$I,9,0),""),2,3000))</f>
        <v>OK</v>
      </c>
      <c r="K318" s="160" t="s">
        <v>1775</v>
      </c>
    </row>
    <row r="319" spans="1:11">
      <c r="A319" s="159" t="str">
        <f>"AMLA_VR_" &amp; B319 &amp; "_" &amp; C319 &amp; "_" &amp; TEXT(COUNTIFS($B$2:B319, B319, $C$2:C319, C319), "00")</f>
        <v>AMLA_VR_AML.04.10_C0030_01</v>
      </c>
      <c r="B319" s="157" t="s">
        <v>265</v>
      </c>
      <c r="C319" s="157" t="s">
        <v>83</v>
      </c>
      <c r="D319" s="157" t="s">
        <v>1551</v>
      </c>
      <c r="E319" s="160" t="str" cm="1">
        <f t="array" aca="1" ref="E319" ca="1">IF(C319="", INDIRECT("'"&amp;B319&amp;"'!B3"), INDEX(INDIRECT("'"&amp;B319&amp;"'!5:5"), COLUMN(INDIRECT("'"&amp;B319&amp;"'!"&amp;D319))))</f>
        <v>Funds to Crypto - Customers</v>
      </c>
      <c r="F319" s="157" t="s">
        <v>1772</v>
      </c>
      <c r="G319" s="157" t="s">
        <v>1773</v>
      </c>
      <c r="H319" s="158" t="s">
        <v>1820</v>
      </c>
      <c r="I319" s="157" t="str">
        <f>IF('AML.04.10'!$D$11&lt;0, $G319 &amp; ": " &amp; $H319, "OK")</f>
        <v>OK</v>
      </c>
      <c r="J319" s="157" t="str">
        <f>IF(LEN(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0,"OK",MID(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2,3000))</f>
        <v>OK</v>
      </c>
      <c r="K319" s="157" t="s">
        <v>1775</v>
      </c>
    </row>
    <row r="320" spans="1:11">
      <c r="A320" s="159" t="str">
        <f>"AMLA_VR_" &amp; B320 &amp; "_" &amp; C320 &amp; "_" &amp; TEXT(COUNTIFS($B$2:B320, B320, $C$2:C320, C320), "00")</f>
        <v>AMLA_VR_AML.04.10_C0030_02</v>
      </c>
      <c r="B320" s="160" t="s">
        <v>265</v>
      </c>
      <c r="C320" s="160" t="s">
        <v>83</v>
      </c>
      <c r="D320" s="160" t="s">
        <v>1551</v>
      </c>
      <c r="E320" s="160" t="str" cm="1">
        <f t="array" aca="1" ref="E320" ca="1">IF(C320="", INDIRECT("'"&amp;B320&amp;"'!B3"), INDEX(INDIRECT("'"&amp;B320&amp;"'!5:5"), COLUMN(INDIRECT("'"&amp;B320&amp;"'!"&amp;D320))))</f>
        <v>Funds to Crypto - Customers</v>
      </c>
      <c r="F320" s="160" t="s">
        <v>1772</v>
      </c>
      <c r="G320" s="160" t="s">
        <v>1773</v>
      </c>
      <c r="H320" s="161" t="s">
        <v>1866</v>
      </c>
      <c r="I320" s="160" t="str">
        <f>IF('AML.04.10'!$D$11 &gt; 'AML.02.01'!$B$11, $G320 &amp; ": " &amp; $H320, "OK")</f>
        <v>OK</v>
      </c>
      <c r="J320" s="160" t="str">
        <f>IF(LEN(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0,"OK",MID(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2,3000))</f>
        <v>OK</v>
      </c>
      <c r="K320" s="160" t="s">
        <v>1775</v>
      </c>
    </row>
    <row r="321" spans="1:11">
      <c r="A321" s="159" t="str">
        <f>"AMLA_VR_" &amp; B321 &amp; "_" &amp; C321 &amp; "_" &amp; TEXT(COUNTIFS($B$2:B321, B321, $C$2:C321, C321), "00")</f>
        <v>AMLA_VR_AML.04.10_C0030_03</v>
      </c>
      <c r="B321" s="157" t="s">
        <v>265</v>
      </c>
      <c r="C321" s="157" t="s">
        <v>83</v>
      </c>
      <c r="D321" s="157" t="s">
        <v>1551</v>
      </c>
      <c r="E321" s="160" t="str" cm="1">
        <f t="array" aca="1" ref="E321" ca="1">IF(C321="", INDIRECT("'"&amp;B321&amp;"'!B3"), INDEX(INDIRECT("'"&amp;B321&amp;"'!5:5"), COLUMN(INDIRECT("'"&amp;B321&amp;"'!"&amp;D321))))</f>
        <v>Funds to Crypto - Customers</v>
      </c>
      <c r="F321" s="157" t="s">
        <v>1776</v>
      </c>
      <c r="G321" s="157" t="s">
        <v>1773</v>
      </c>
      <c r="H321" s="158" t="s">
        <v>1816</v>
      </c>
      <c r="I321" s="157" t="str">
        <f>IF(TRIM(SUBSTITUTE('AML.04.10'!$D$11&amp;"",CHAR(160),""))="","OK",IF(OR(NOT(ISNUMBER('AML.04.10'!$D$11)),IFERROR(INT('AML.04.10'!$D$11)&lt;&gt;'AML.04.10'!$D$11,TRUE)),$G321&amp;": "&amp;$H321,"OK"))</f>
        <v>OK</v>
      </c>
      <c r="J321" s="157" t="str">
        <f>IF(LEN(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0,"OK",MID(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2,3000))</f>
        <v>OK</v>
      </c>
      <c r="K321" s="157" t="s">
        <v>1775</v>
      </c>
    </row>
    <row r="322" spans="1:11">
      <c r="A322" s="159" t="str">
        <f>"AMLA_VR_" &amp; B322 &amp; "_" &amp; C322 &amp; "_" &amp; TEXT(COUNTIFS($B$2:B322, B322, $C$2:C322, C322), "00")</f>
        <v>AMLA_VR_AML.04.10_C0030_04</v>
      </c>
      <c r="B322" s="160" t="s">
        <v>265</v>
      </c>
      <c r="C322" s="160" t="s">
        <v>83</v>
      </c>
      <c r="D322" s="160" t="s">
        <v>1551</v>
      </c>
      <c r="E322" s="160" t="str" cm="1">
        <f t="array" aca="1" ref="E322" ca="1">IF(C322="", INDIRECT("'"&amp;B322&amp;"'!B3"), INDEX(INDIRECT("'"&amp;B322&amp;"'!5:5"), COLUMN(INDIRECT("'"&amp;B322&amp;"'!"&amp;D322))))</f>
        <v>Funds to Crypto - Customers</v>
      </c>
      <c r="F322" s="160" t="s">
        <v>1772</v>
      </c>
      <c r="G322" s="160" t="s">
        <v>1813</v>
      </c>
      <c r="H322" s="161" t="s">
        <v>1859</v>
      </c>
      <c r="I322" s="160" t="str">
        <f>IF(AND('AML.04.10'!$D$11=0, 'AML.04.10'!$B$11&gt;0), $G322 &amp; ": " &amp; $H322, "OK")</f>
        <v>OK</v>
      </c>
      <c r="J322" s="160" t="str">
        <f>IF(LEN(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0,"OK",MID(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2,3000))</f>
        <v>OK</v>
      </c>
      <c r="K322" s="160" t="s">
        <v>1775</v>
      </c>
    </row>
    <row r="323" spans="1:11">
      <c r="A323" s="159" t="str">
        <f>"AMLA_VR_" &amp; B323 &amp; "_" &amp; C323 &amp; "_" &amp; TEXT(COUNTIFS($B$2:B323, B323, $C$2:C323, C323), "00")</f>
        <v>AMLA_VR_AML.04.10_C0030_05</v>
      </c>
      <c r="B323" s="157" t="s">
        <v>265</v>
      </c>
      <c r="C323" s="157" t="s">
        <v>83</v>
      </c>
      <c r="D323" s="157" t="s">
        <v>1551</v>
      </c>
      <c r="E323" s="160" t="str" cm="1">
        <f t="array" aca="1" ref="E323" ca="1">IF(C323="", INDIRECT("'"&amp;B323&amp;"'!B3"), INDEX(INDIRECT("'"&amp;B323&amp;"'!5:5"), COLUMN(INDIRECT("'"&amp;B323&amp;"'!"&amp;D323))))</f>
        <v>Funds to Crypto - Customers</v>
      </c>
      <c r="F323" s="157" t="s">
        <v>1772</v>
      </c>
      <c r="G323" s="157" t="s">
        <v>1813</v>
      </c>
      <c r="H323" s="158" t="s">
        <v>1839</v>
      </c>
      <c r="I323" s="157" t="str">
        <f>IF(AND('AML.04.10'!$D$11=0, 'AML.04.10'!$C$11&gt;0), $G323 &amp; ": " &amp; $H323, "OK")</f>
        <v>OK</v>
      </c>
      <c r="J323" s="157" t="str">
        <f>IF(LEN(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0,"OK",MID(IF(VLOOKUP("AMLA_VR_AML.04.10_C0030_01",$A:$I,9,0)&lt;&gt;"OK",CHAR(10)&amp;VLOOKUP("AMLA_VR_AML.04.10_C0030_01",$A:$I,9,0),"")&amp;IF(VLOOKUP("AMLA_VR_AML.04.10_C0030_02",$A:$I,9,0)&lt;&gt;"OK",CHAR(10)&amp;VLOOKUP("AMLA_VR_AML.04.10_C0030_02",$A:$I,9,0),"")&amp;IF(VLOOKUP("AMLA_VR_AML.04.10_C0030_03",$A:$I,9,0)&lt;&gt;"OK",CHAR(10)&amp;VLOOKUP("AMLA_VR_AML.04.10_C0030_03",$A:$I,9,0),"")&amp;IF(VLOOKUP("AMLA_VR_AML.04.10_C0030_04",$A:$I,9,0)&lt;&gt;"OK",CHAR(10)&amp;VLOOKUP("AMLA_VR_AML.04.10_C0030_04",$A:$I,9,0),"")&amp;IF(VLOOKUP("AMLA_VR_AML.04.10_C0030_05",$A:$I,9,0)&lt;&gt;"OK",CHAR(10)&amp;VLOOKUP("AMLA_VR_AML.04.10_C0030_05",$A:$I,9,0),""),2,3000))</f>
        <v>OK</v>
      </c>
      <c r="K323" s="157" t="s">
        <v>1775</v>
      </c>
    </row>
    <row r="324" spans="1:11">
      <c r="A324" s="159" t="str">
        <f>"AMLA_VR_" &amp; B324 &amp; "_" &amp; C324 &amp; "_" &amp; TEXT(COUNTIFS($B$2:B324, B324, $C$2:C324, C324), "00")</f>
        <v>AMLA_VR_AML.04.10_C0040_01</v>
      </c>
      <c r="B324" s="157" t="s">
        <v>265</v>
      </c>
      <c r="C324" s="157" t="s">
        <v>84</v>
      </c>
      <c r="D324" s="157" t="s">
        <v>1552</v>
      </c>
      <c r="E324" s="160" t="str" cm="1">
        <f t="array" aca="1" ref="E324" ca="1">IF(C324="", INDIRECT("'"&amp;B324&amp;"'!B3"), INDEX(INDIRECT("'"&amp;B324&amp;"'!5:5"), COLUMN(INDIRECT("'"&amp;B324&amp;"'!"&amp;D324))))</f>
        <v>Funds-to-Crypto (to Self-hosted) – Number</v>
      </c>
      <c r="F324" s="157" t="s">
        <v>1772</v>
      </c>
      <c r="G324" s="157" t="s">
        <v>1773</v>
      </c>
      <c r="H324" s="158" t="s">
        <v>1821</v>
      </c>
      <c r="I324" s="157" t="str">
        <f>IF('AML.04.10'!$E$11&lt;0, $G324 &amp; ": " &amp; $H324, "OK")</f>
        <v>OK</v>
      </c>
      <c r="J324" s="157" t="str">
        <f>IF(LEN(IF(VLOOKUP("AMLA_VR_AML.04.10_C0040_01",$A:$I,9,0)&lt;&gt;"OK",CHAR(10)&amp;VLOOKUP("AMLA_VR_AML.04.10_C0040_01",$A:$I,9,0),"")&amp;IF(VLOOKUP("AMLA_VR_AML.04.10_C0040_02",$A:$I,9,0)&lt;&gt;"OK",CHAR(10)&amp;VLOOKUP("AMLA_VR_AML.04.10_C0040_02",$A:$I,9,0),""))=0,"OK",MID(IF(VLOOKUP("AMLA_VR_AML.04.10_C0040_01",$A:$I,9,0)&lt;&gt;"OK",CHAR(10)&amp;VLOOKUP("AMLA_VR_AML.04.10_C0040_01",$A:$I,9,0),"")&amp;IF(VLOOKUP("AMLA_VR_AML.04.10_C0040_02",$A:$I,9,0)&lt;&gt;"OK",CHAR(10)&amp;VLOOKUP("AMLA_VR_AML.04.10_C0040_02",$A:$I,9,0),""),2,3000))</f>
        <v>OK</v>
      </c>
      <c r="K324" s="157" t="s">
        <v>1775</v>
      </c>
    </row>
    <row r="325" spans="1:11">
      <c r="A325" s="159" t="str">
        <f>"AMLA_VR_" &amp; B325 &amp; "_" &amp; C325 &amp; "_" &amp; TEXT(COUNTIFS($B$2:B325, B325, $C$2:C325, C325), "00")</f>
        <v>AMLA_VR_AML.04.10_C0040_02</v>
      </c>
      <c r="B325" s="160" t="s">
        <v>265</v>
      </c>
      <c r="C325" s="160" t="s">
        <v>84</v>
      </c>
      <c r="D325" s="160" t="s">
        <v>1552</v>
      </c>
      <c r="E325" s="160" t="str" cm="1">
        <f t="array" aca="1" ref="E325" ca="1">IF(C325="", INDIRECT("'"&amp;B325&amp;"'!B3"), INDEX(INDIRECT("'"&amp;B325&amp;"'!5:5"), COLUMN(INDIRECT("'"&amp;B325&amp;"'!"&amp;D325))))</f>
        <v>Funds-to-Crypto (to Self-hosted) – Number</v>
      </c>
      <c r="F325" s="160" t="s">
        <v>1776</v>
      </c>
      <c r="G325" s="160" t="s">
        <v>1773</v>
      </c>
      <c r="H325" s="161" t="s">
        <v>1816</v>
      </c>
      <c r="I325" s="160" t="str">
        <f>IF(TRIM(SUBSTITUTE('AML.04.10'!$E$11&amp;"",CHAR(160),""))="","OK",IF(OR(NOT(ISNUMBER('AML.04.10'!$E$11)),IFERROR(INT('AML.04.10'!$E$11)&lt;&gt;'AML.04.10'!$E$11,TRUE)),$G325&amp;": "&amp;$H325,"OK"))</f>
        <v>OK</v>
      </c>
      <c r="J325" s="160" t="str">
        <f>IF(LEN(IF(VLOOKUP("AMLA_VR_AML.04.10_C0040_01",$A:$I,9,0)&lt;&gt;"OK",CHAR(10)&amp;VLOOKUP("AMLA_VR_AML.04.10_C0040_01",$A:$I,9,0),"")&amp;IF(VLOOKUP("AMLA_VR_AML.04.10_C0040_02",$A:$I,9,0)&lt;&gt;"OK",CHAR(10)&amp;VLOOKUP("AMLA_VR_AML.04.10_C0040_02",$A:$I,9,0),""))=0,"OK",MID(IF(VLOOKUP("AMLA_VR_AML.04.10_C0040_01",$A:$I,9,0)&lt;&gt;"OK",CHAR(10)&amp;VLOOKUP("AMLA_VR_AML.04.10_C0040_01",$A:$I,9,0),"")&amp;IF(VLOOKUP("AMLA_VR_AML.04.10_C0040_02",$A:$I,9,0)&lt;&gt;"OK",CHAR(10)&amp;VLOOKUP("AMLA_VR_AML.04.10_C0040_02",$A:$I,9,0),""),2,3000))</f>
        <v>OK</v>
      </c>
      <c r="K325" s="160" t="s">
        <v>1775</v>
      </c>
    </row>
    <row r="326" spans="1:11">
      <c r="A326" s="159" t="str">
        <f>"AMLA_VR_" &amp; B326 &amp; "_" &amp; C326 &amp; "_" &amp; TEXT(COUNTIFS($B$2:B326, B326, $C$2:C326, C326), "00")</f>
        <v>AMLA_VR_AML.04.10_C0050_01</v>
      </c>
      <c r="B326" s="160" t="s">
        <v>265</v>
      </c>
      <c r="C326" s="160" t="s">
        <v>85</v>
      </c>
      <c r="D326" s="160" t="s">
        <v>1553</v>
      </c>
      <c r="E326" s="160" t="str" cm="1">
        <f t="array" aca="1" ref="E326" ca="1">IF(C326="", INDIRECT("'"&amp;B326&amp;"'!B3"), INDEX(INDIRECT("'"&amp;B326&amp;"'!5:5"), COLUMN(INDIRECT("'"&amp;B326&amp;"'!"&amp;D326))))</f>
        <v>Crypto-to-Funds - Value</v>
      </c>
      <c r="F326" s="160" t="s">
        <v>1772</v>
      </c>
      <c r="G326" s="160" t="s">
        <v>1773</v>
      </c>
      <c r="H326" s="161" t="s">
        <v>1822</v>
      </c>
      <c r="I326" s="160" t="str">
        <f>IF('AML.04.10'!$F$11&lt;0, $G326 &amp; ": " &amp; $H326, "OK")</f>
        <v>OK</v>
      </c>
      <c r="J326" s="160" t="str">
        <f>IF(LEN(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0,"OK",MID(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2,3000))</f>
        <v>OK</v>
      </c>
      <c r="K326" s="160" t="s">
        <v>1775</v>
      </c>
    </row>
    <row r="327" spans="1:11">
      <c r="A327" s="159" t="str">
        <f>"AMLA_VR_" &amp; B327 &amp; "_" &amp; C327 &amp; "_" &amp; TEXT(COUNTIFS($B$2:B327, B327, $C$2:C327, C327), "00")</f>
        <v>AMLA_VR_AML.04.10_C0050_02</v>
      </c>
      <c r="B327" s="157" t="s">
        <v>265</v>
      </c>
      <c r="C327" s="157" t="s">
        <v>85</v>
      </c>
      <c r="D327" s="157" t="s">
        <v>1553</v>
      </c>
      <c r="E327" s="160" t="str" cm="1">
        <f t="array" aca="1" ref="E327" ca="1">IF(C327="", INDIRECT("'"&amp;B327&amp;"'!B3"), INDEX(INDIRECT("'"&amp;B327&amp;"'!5:5"), COLUMN(INDIRECT("'"&amp;B327&amp;"'!"&amp;D327))))</f>
        <v>Crypto-to-Funds - Value</v>
      </c>
      <c r="F327" s="157" t="s">
        <v>1776</v>
      </c>
      <c r="G327" s="157" t="s">
        <v>1773</v>
      </c>
      <c r="H327" s="158" t="s">
        <v>1837</v>
      </c>
      <c r="I327" s="157" t="str">
        <f>IF(TRIM(SUBSTITUTE('AML.04.10'!$F$11&amp;"",CHAR(160),""))="","OK",IF(NOT(ISNUMBER('AML.04.10'!$F$11)),$G327&amp;": "&amp;$H327,"OK"))</f>
        <v>OK</v>
      </c>
      <c r="J327" s="157" t="str">
        <f>IF(LEN(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0,"OK",MID(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2,3000))</f>
        <v>OK</v>
      </c>
      <c r="K327" s="157" t="s">
        <v>1775</v>
      </c>
    </row>
    <row r="328" spans="1:11">
      <c r="A328" s="159" t="str">
        <f>"AMLA_VR_" &amp; B328 &amp; "_" &amp; C328 &amp; "_" &amp; TEXT(COUNTIFS($B$2:B328, B328, $C$2:C328, C328), "00")</f>
        <v>AMLA_VR_AML.04.10_C0050_03</v>
      </c>
      <c r="B328" s="157" t="s">
        <v>265</v>
      </c>
      <c r="C328" s="157" t="s">
        <v>85</v>
      </c>
      <c r="D328" s="157" t="s">
        <v>1553</v>
      </c>
      <c r="E328" s="160" t="str" cm="1">
        <f t="array" aca="1" ref="E328" ca="1">IF(C328="", INDIRECT("'"&amp;B328&amp;"'!B3"), INDEX(INDIRECT("'"&amp;B328&amp;"'!5:5"), COLUMN(INDIRECT("'"&amp;B328&amp;"'!"&amp;D328))))</f>
        <v>Crypto-to-Funds - Value</v>
      </c>
      <c r="F328" s="157" t="s">
        <v>1772</v>
      </c>
      <c r="G328" s="157" t="s">
        <v>1813</v>
      </c>
      <c r="H328" s="158" t="s">
        <v>1867</v>
      </c>
      <c r="I328" s="157" t="str">
        <f>IF(AND('AML.04.10'!$F$11=0, 'AML.04.10'!$G$11&gt;0), $G328 &amp; ": " &amp; $H328, "OK")</f>
        <v>OK</v>
      </c>
      <c r="J328" s="157" t="str">
        <f>IF(LEN(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0,"OK",MID(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2,3000))</f>
        <v>OK</v>
      </c>
      <c r="K328" s="157" t="s">
        <v>1775</v>
      </c>
    </row>
    <row r="329" spans="1:11">
      <c r="A329" s="159" t="str">
        <f>"AMLA_VR_" &amp; B329 &amp; "_" &amp; C329 &amp; "_" &amp; TEXT(COUNTIFS($B$2:B329, B329, $C$2:C329, C329), "00")</f>
        <v>AMLA_VR_AML.04.10_C0050_04</v>
      </c>
      <c r="B329" s="160" t="s">
        <v>265</v>
      </c>
      <c r="C329" s="160" t="s">
        <v>85</v>
      </c>
      <c r="D329" s="160" t="s">
        <v>1553</v>
      </c>
      <c r="E329" s="160" t="str" cm="1">
        <f t="array" aca="1" ref="E329" ca="1">IF(C329="", INDIRECT("'"&amp;B329&amp;"'!B3"), INDEX(INDIRECT("'"&amp;B329&amp;"'!5:5"), COLUMN(INDIRECT("'"&amp;B329&amp;"'!"&amp;D329))))</f>
        <v>Crypto-to-Funds - Value</v>
      </c>
      <c r="F329" s="160" t="s">
        <v>1772</v>
      </c>
      <c r="G329" s="160" t="s">
        <v>1813</v>
      </c>
      <c r="H329" s="161" t="s">
        <v>1868</v>
      </c>
      <c r="I329" s="160" t="str">
        <f>IF(AND('AML.04.10'!$F$11=0, 'AML.04.10'!$H$11&gt;0), $G329 &amp; ": " &amp; $H329, "OK")</f>
        <v>OK</v>
      </c>
      <c r="J329" s="160" t="str">
        <f>IF(LEN(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0,"OK",MID(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2,3000))</f>
        <v>OK</v>
      </c>
      <c r="K329" s="160" t="s">
        <v>1775</v>
      </c>
    </row>
    <row r="330" spans="1:11">
      <c r="A330" s="159" t="str">
        <f>"AMLA_VR_" &amp; B330 &amp; "_" &amp; C330 &amp; "_" &amp; TEXT(COUNTIFS($B$2:B330, B330, $C$2:C330, C330), "00")</f>
        <v>AMLA_VR_AML.04.10_C0050_05</v>
      </c>
      <c r="B330" s="157" t="s">
        <v>265</v>
      </c>
      <c r="C330" s="157" t="s">
        <v>85</v>
      </c>
      <c r="D330" s="157" t="s">
        <v>1553</v>
      </c>
      <c r="E330" s="160" t="str" cm="1">
        <f t="array" aca="1" ref="E330" ca="1">IF(C330="", INDIRECT("'"&amp;B330&amp;"'!B3"), INDEX(INDIRECT("'"&amp;B330&amp;"'!5:5"), COLUMN(INDIRECT("'"&amp;B330&amp;"'!"&amp;D330))))</f>
        <v>Crypto-to-Funds - Value</v>
      </c>
      <c r="F330" s="157" t="s">
        <v>1772</v>
      </c>
      <c r="G330" s="157" t="s">
        <v>1813</v>
      </c>
      <c r="H330" s="158" t="s">
        <v>1869</v>
      </c>
      <c r="I330" s="157" t="str">
        <f>IF(AND('AML.04.10'!$F$11=0, 'AML.04.10'!$I$11&gt;0), $G330 &amp; ": " &amp; $H330, "OK")</f>
        <v>OK</v>
      </c>
      <c r="J330" s="157" t="str">
        <f>IF(LEN(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0,"OK",MID(IF(VLOOKUP("AMLA_VR_AML.04.10_C0050_01",$A:$I,9,0)&lt;&gt;"OK",CHAR(10)&amp;VLOOKUP("AMLA_VR_AML.04.10_C0050_01",$A:$I,9,0),"")&amp;IF(VLOOKUP("AMLA_VR_AML.04.10_C0050_02",$A:$I,9,0)&lt;&gt;"OK",CHAR(10)&amp;VLOOKUP("AMLA_VR_AML.04.10_C0050_02",$A:$I,9,0),"")&amp;IF(VLOOKUP("AMLA_VR_AML.04.10_C0050_03",$A:$I,9,0)&lt;&gt;"OK",CHAR(10)&amp;VLOOKUP("AMLA_VR_AML.04.10_C0050_03",$A:$I,9,0),"")&amp;IF(VLOOKUP("AMLA_VR_AML.04.10_C0050_04",$A:$I,9,0)&lt;&gt;"OK",CHAR(10)&amp;VLOOKUP("AMLA_VR_AML.04.10_C0050_04",$A:$I,9,0),"")&amp;IF(VLOOKUP("AMLA_VR_AML.04.10_C0050_05",$A:$I,9,0)&lt;&gt;"OK",CHAR(10)&amp;VLOOKUP("AMLA_VR_AML.04.10_C0050_05",$A:$I,9,0),""),2,3000))</f>
        <v>OK</v>
      </c>
      <c r="K330" s="157" t="s">
        <v>1775</v>
      </c>
    </row>
    <row r="331" spans="1:11">
      <c r="A331" s="159" t="str">
        <f>"AMLA_VR_" &amp; B331 &amp; "_" &amp; C331 &amp; "_" &amp; TEXT(COUNTIFS($B$2:B331, B331, $C$2:C331, C331), "00")</f>
        <v>AMLA_VR_AML.04.10_C0060_01</v>
      </c>
      <c r="B331" s="160" t="s">
        <v>265</v>
      </c>
      <c r="C331" s="160" t="s">
        <v>86</v>
      </c>
      <c r="D331" s="160" t="s">
        <v>1554</v>
      </c>
      <c r="E331" s="160" t="str" cm="1">
        <f t="array" aca="1" ref="E331" ca="1">IF(C331="", INDIRECT("'"&amp;B331&amp;"'!B3"), INDEX(INDIRECT("'"&amp;B331&amp;"'!5:5"), COLUMN(INDIRECT("'"&amp;B331&amp;"'!"&amp;D331))))</f>
        <v>Crypto-to-Funds - Number</v>
      </c>
      <c r="F331" s="160" t="s">
        <v>1772</v>
      </c>
      <c r="G331" s="160" t="s">
        <v>1773</v>
      </c>
      <c r="H331" s="161" t="s">
        <v>1823</v>
      </c>
      <c r="I331" s="160" t="str">
        <f>IF('AML.04.10'!$G$11&lt;0, $G331 &amp; ": " &amp; $H331, "OK")</f>
        <v>OK</v>
      </c>
      <c r="J331" s="160" t="str">
        <f>IF(LEN(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0,"OK",MID(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2,3000))</f>
        <v>OK</v>
      </c>
      <c r="K331" s="160" t="s">
        <v>1775</v>
      </c>
    </row>
    <row r="332" spans="1:11">
      <c r="A332" s="159" t="str">
        <f>"AMLA_VR_" &amp; B332 &amp; "_" &amp; C332 &amp; "_" &amp; TEXT(COUNTIFS($B$2:B332, B332, $C$2:C332, C332), "00")</f>
        <v>AMLA_VR_AML.04.10_C0060_02</v>
      </c>
      <c r="B332" s="160" t="s">
        <v>265</v>
      </c>
      <c r="C332" s="160" t="s">
        <v>86</v>
      </c>
      <c r="D332" s="160" t="s">
        <v>1554</v>
      </c>
      <c r="E332" s="160" t="str" cm="1">
        <f t="array" aca="1" ref="E332" ca="1">IF(C332="", INDIRECT("'"&amp;B332&amp;"'!B3"), INDEX(INDIRECT("'"&amp;B332&amp;"'!5:5"), COLUMN(INDIRECT("'"&amp;B332&amp;"'!"&amp;D332))))</f>
        <v>Crypto-to-Funds - Number</v>
      </c>
      <c r="F332" s="160" t="s">
        <v>1776</v>
      </c>
      <c r="G332" s="160" t="s">
        <v>1773</v>
      </c>
      <c r="H332" s="161" t="s">
        <v>1816</v>
      </c>
      <c r="I332" s="160" t="str">
        <f>IF(TRIM(SUBSTITUTE('AML.04.10'!$G$11&amp;"",CHAR(160),""))="","OK",IF(OR(NOT(ISNUMBER('AML.04.10'!$G$11)),IFERROR(INT('AML.04.10'!$G$11)&lt;&gt;'AML.04.10'!$G$11,TRUE)),$G332&amp;": "&amp;$H332,"OK"))</f>
        <v>OK</v>
      </c>
      <c r="J332" s="160" t="str">
        <f>IF(LEN(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0,"OK",MID(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2,3000))</f>
        <v>OK</v>
      </c>
      <c r="K332" s="160" t="s">
        <v>1775</v>
      </c>
    </row>
    <row r="333" spans="1:11">
      <c r="A333" s="159" t="str">
        <f>"AMLA_VR_" &amp; B333 &amp; "_" &amp; C333 &amp; "_" &amp; TEXT(COUNTIFS($B$2:B333, B333, $C$2:C333, C333), "00")</f>
        <v>AMLA_VR_AML.04.10_C0060_03</v>
      </c>
      <c r="B333" s="157" t="s">
        <v>265</v>
      </c>
      <c r="C333" s="157" t="s">
        <v>86</v>
      </c>
      <c r="D333" s="157" t="s">
        <v>1554</v>
      </c>
      <c r="E333" s="160" t="str" cm="1">
        <f t="array" aca="1" ref="E333" ca="1">IF(C333="", INDIRECT("'"&amp;B333&amp;"'!B3"), INDEX(INDIRECT("'"&amp;B333&amp;"'!5:5"), COLUMN(INDIRECT("'"&amp;B333&amp;"'!"&amp;D333))))</f>
        <v>Crypto-to-Funds - Number</v>
      </c>
      <c r="F333" s="157" t="s">
        <v>1772</v>
      </c>
      <c r="G333" s="157" t="s">
        <v>1813</v>
      </c>
      <c r="H333" s="158" t="s">
        <v>1870</v>
      </c>
      <c r="I333" s="157" t="str">
        <f>IF(AND('AML.04.10'!$G$11=0, 'AML.04.10'!$F$11&gt;0), $G333 &amp; ": " &amp; $H333, "OK")</f>
        <v>OK</v>
      </c>
      <c r="J333" s="157" t="str">
        <f>IF(LEN(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0,"OK",MID(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2,3000))</f>
        <v>OK</v>
      </c>
      <c r="K333" s="157" t="s">
        <v>1775</v>
      </c>
    </row>
    <row r="334" spans="1:11">
      <c r="A334" s="159" t="str">
        <f>"AMLA_VR_" &amp; B334 &amp; "_" &amp; C334 &amp; "_" &amp; TEXT(COUNTIFS($B$2:B334, B334, $C$2:C334, C334), "00")</f>
        <v>AMLA_VR_AML.04.10_C0060_04</v>
      </c>
      <c r="B334" s="160" t="s">
        <v>265</v>
      </c>
      <c r="C334" s="160" t="s">
        <v>86</v>
      </c>
      <c r="D334" s="160" t="s">
        <v>1554</v>
      </c>
      <c r="E334" s="160" t="str" cm="1">
        <f t="array" aca="1" ref="E334" ca="1">IF(C334="", INDIRECT("'"&amp;B334&amp;"'!B3"), INDEX(INDIRECT("'"&amp;B334&amp;"'!5:5"), COLUMN(INDIRECT("'"&amp;B334&amp;"'!"&amp;D334))))</f>
        <v>Crypto-to-Funds - Number</v>
      </c>
      <c r="F334" s="160" t="s">
        <v>1772</v>
      </c>
      <c r="G334" s="160" t="s">
        <v>1813</v>
      </c>
      <c r="H334" s="161" t="s">
        <v>1871</v>
      </c>
      <c r="I334" s="160" t="str">
        <f>IF(AND('AML.04.10'!$G$11=0, 'AML.04.10'!$H$11&gt;0), $G334 &amp; ": " &amp; $H334, "OK")</f>
        <v>OK</v>
      </c>
      <c r="J334" s="160" t="str">
        <f>IF(LEN(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0,"OK",MID(IF(VLOOKUP("AMLA_VR_AML.04.10_C0060_01",$A:$I,9,0)&lt;&gt;"OK",CHAR(10)&amp;VLOOKUP("AMLA_VR_AML.04.10_C0060_01",$A:$I,9,0),"")&amp;IF(VLOOKUP("AMLA_VR_AML.04.10_C0060_02",$A:$I,9,0)&lt;&gt;"OK",CHAR(10)&amp;VLOOKUP("AMLA_VR_AML.04.10_C0060_02",$A:$I,9,0),"")&amp;IF(VLOOKUP("AMLA_VR_AML.04.10_C0060_03",$A:$I,9,0)&lt;&gt;"OK",CHAR(10)&amp;VLOOKUP("AMLA_VR_AML.04.10_C0060_03",$A:$I,9,0),"")&amp;IF(VLOOKUP("AMLA_VR_AML.04.10_C0060_04",$A:$I,9,0)&lt;&gt;"OK",CHAR(10)&amp;VLOOKUP("AMLA_VR_AML.04.10_C0060_04",$A:$I,9,0),""),2,3000))</f>
        <v>OK</v>
      </c>
      <c r="K334" s="160" t="s">
        <v>1775</v>
      </c>
    </row>
    <row r="335" spans="1:11">
      <c r="A335" s="159" t="str">
        <f>"AMLA_VR_" &amp; B335 &amp; "_" &amp; C335 &amp; "_" &amp; TEXT(COUNTIFS($B$2:B335, B335, $C$2:C335, C335), "00")</f>
        <v>AMLA_VR_AML.04.10_C0070_01</v>
      </c>
      <c r="B335" s="157" t="s">
        <v>265</v>
      </c>
      <c r="C335" s="157" t="s">
        <v>87</v>
      </c>
      <c r="D335" s="157" t="s">
        <v>1555</v>
      </c>
      <c r="E335" s="160" t="str" cm="1">
        <f t="array" aca="1" ref="E335" ca="1">IF(C335="", INDIRECT("'"&amp;B335&amp;"'!B3"), INDEX(INDIRECT("'"&amp;B335&amp;"'!5:5"), COLUMN(INDIRECT("'"&amp;B335&amp;"'!"&amp;D335))))</f>
        <v>Crypto-to-Funds - Customers</v>
      </c>
      <c r="F335" s="157" t="s">
        <v>1772</v>
      </c>
      <c r="G335" s="157" t="s">
        <v>1773</v>
      </c>
      <c r="H335" s="158" t="s">
        <v>1824</v>
      </c>
      <c r="I335" s="157" t="str">
        <f>IF('AML.04.10'!$H$11&lt;0, $G335 &amp; ": " &amp; $H335, "OK")</f>
        <v>OK</v>
      </c>
      <c r="J335" s="157" t="str">
        <f>IF(LEN(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0,"OK",MID(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2,3000))</f>
        <v>OK</v>
      </c>
      <c r="K335" s="157" t="s">
        <v>1775</v>
      </c>
    </row>
    <row r="336" spans="1:11">
      <c r="A336" s="159" t="str">
        <f>"AMLA_VR_" &amp; B336 &amp; "_" &amp; C336 &amp; "_" &amp; TEXT(COUNTIFS($B$2:B336, B336, $C$2:C336, C336), "00")</f>
        <v>AMLA_VR_AML.04.10_C0070_02</v>
      </c>
      <c r="B336" s="160" t="s">
        <v>265</v>
      </c>
      <c r="C336" s="160" t="s">
        <v>87</v>
      </c>
      <c r="D336" s="160" t="s">
        <v>1555</v>
      </c>
      <c r="E336" s="160" t="str" cm="1">
        <f t="array" aca="1" ref="E336" ca="1">IF(C336="", INDIRECT("'"&amp;B336&amp;"'!B3"), INDEX(INDIRECT("'"&amp;B336&amp;"'!5:5"), COLUMN(INDIRECT("'"&amp;B336&amp;"'!"&amp;D336))))</f>
        <v>Crypto-to-Funds - Customers</v>
      </c>
      <c r="F336" s="160" t="s">
        <v>1772</v>
      </c>
      <c r="G336" s="160" t="s">
        <v>1773</v>
      </c>
      <c r="H336" s="161" t="s">
        <v>1872</v>
      </c>
      <c r="I336" s="160" t="str">
        <f>IF('AML.04.10'!$H$11 &gt; 'AML.02.01'!$B$11, $G336 &amp; ": " &amp; $H336, "OK")</f>
        <v>OK</v>
      </c>
      <c r="J336" s="160" t="str">
        <f>IF(LEN(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0,"OK",MID(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2,3000))</f>
        <v>OK</v>
      </c>
      <c r="K336" s="160" t="s">
        <v>1775</v>
      </c>
    </row>
    <row r="337" spans="1:11">
      <c r="A337" s="159" t="str">
        <f>"AMLA_VR_" &amp; B337 &amp; "_" &amp; C337 &amp; "_" &amp; TEXT(COUNTIFS($B$2:B337, B337, $C$2:C337, C337), "00")</f>
        <v>AMLA_VR_AML.04.10_C0070_03</v>
      </c>
      <c r="B337" s="157" t="s">
        <v>265</v>
      </c>
      <c r="C337" s="157" t="s">
        <v>87</v>
      </c>
      <c r="D337" s="157" t="s">
        <v>1555</v>
      </c>
      <c r="E337" s="160" t="str" cm="1">
        <f t="array" aca="1" ref="E337" ca="1">IF(C337="", INDIRECT("'"&amp;B337&amp;"'!B3"), INDEX(INDIRECT("'"&amp;B337&amp;"'!5:5"), COLUMN(INDIRECT("'"&amp;B337&amp;"'!"&amp;D337))))</f>
        <v>Crypto-to-Funds - Customers</v>
      </c>
      <c r="F337" s="157" t="s">
        <v>1776</v>
      </c>
      <c r="G337" s="157" t="s">
        <v>1773</v>
      </c>
      <c r="H337" s="158" t="s">
        <v>1816</v>
      </c>
      <c r="I337" s="157" t="str">
        <f>IF(TRIM(SUBSTITUTE('AML.04.10'!$H$11&amp;"",CHAR(160),""))="","OK",IF(OR(NOT(ISNUMBER('AML.04.10'!$H$11)),IFERROR(INT('AML.04.10'!$H$11)&lt;&gt;'AML.04.10'!$H$11,TRUE)),$G337&amp;": "&amp;$H337,"OK"))</f>
        <v>OK</v>
      </c>
      <c r="J337" s="157" t="str">
        <f>IF(LEN(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0,"OK",MID(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2,3000))</f>
        <v>OK</v>
      </c>
      <c r="K337" s="157" t="s">
        <v>1775</v>
      </c>
    </row>
    <row r="338" spans="1:11">
      <c r="A338" s="159" t="str">
        <f>"AMLA_VR_" &amp; B338 &amp; "_" &amp; C338 &amp; "_" &amp; TEXT(COUNTIFS($B$2:B338, B338, $C$2:C338, C338), "00")</f>
        <v>AMLA_VR_AML.04.10_C0070_04</v>
      </c>
      <c r="B338" s="160" t="s">
        <v>265</v>
      </c>
      <c r="C338" s="160" t="s">
        <v>87</v>
      </c>
      <c r="D338" s="160" t="s">
        <v>1555</v>
      </c>
      <c r="E338" s="160" t="str" cm="1">
        <f t="array" aca="1" ref="E338" ca="1">IF(C338="", INDIRECT("'"&amp;B338&amp;"'!B3"), INDEX(INDIRECT("'"&amp;B338&amp;"'!5:5"), COLUMN(INDIRECT("'"&amp;B338&amp;"'!"&amp;D338))))</f>
        <v>Crypto-to-Funds - Customers</v>
      </c>
      <c r="F338" s="160" t="s">
        <v>1772</v>
      </c>
      <c r="G338" s="160" t="s">
        <v>1813</v>
      </c>
      <c r="H338" s="161" t="s">
        <v>1873</v>
      </c>
      <c r="I338" s="160" t="str">
        <f>IF(AND('AML.04.10'!$H$11=0, 'AML.04.10'!$F$11&gt;0), $G338 &amp; ": " &amp; $H338, "OK")</f>
        <v>OK</v>
      </c>
      <c r="J338" s="160" t="str">
        <f>IF(LEN(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0,"OK",MID(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2,3000))</f>
        <v>OK</v>
      </c>
      <c r="K338" s="160" t="s">
        <v>1775</v>
      </c>
    </row>
    <row r="339" spans="1:11">
      <c r="A339" s="159" t="str">
        <f>"AMLA_VR_" &amp; B339 &amp; "_" &amp; C339 &amp; "_" &amp; TEXT(COUNTIFS($B$2:B339, B339, $C$2:C339, C339), "00")</f>
        <v>AMLA_VR_AML.04.10_C0070_05</v>
      </c>
      <c r="B339" s="157" t="s">
        <v>265</v>
      </c>
      <c r="C339" s="157" t="s">
        <v>87</v>
      </c>
      <c r="D339" s="157" t="s">
        <v>1555</v>
      </c>
      <c r="E339" s="160" t="str" cm="1">
        <f t="array" aca="1" ref="E339" ca="1">IF(C339="", INDIRECT("'"&amp;B339&amp;"'!B3"), INDEX(INDIRECT("'"&amp;B339&amp;"'!5:5"), COLUMN(INDIRECT("'"&amp;B339&amp;"'!"&amp;D339))))</f>
        <v>Crypto-to-Funds - Customers</v>
      </c>
      <c r="F339" s="157" t="s">
        <v>1772</v>
      </c>
      <c r="G339" s="157" t="s">
        <v>1813</v>
      </c>
      <c r="H339" s="158" t="s">
        <v>1874</v>
      </c>
      <c r="I339" s="157" t="str">
        <f>IF(AND('AML.04.10'!$H$11=0, 'AML.04.10'!$G$11&gt;0), $G339 &amp; ": " &amp; $H339, "OK")</f>
        <v>OK</v>
      </c>
      <c r="J339" s="157" t="str">
        <f>IF(LEN(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0,"OK",MID(IF(VLOOKUP("AMLA_VR_AML.04.10_C0070_01",$A:$I,9,0)&lt;&gt;"OK",CHAR(10)&amp;VLOOKUP("AMLA_VR_AML.04.10_C0070_01",$A:$I,9,0),"")&amp;IF(VLOOKUP("AMLA_VR_AML.04.10_C0070_02",$A:$I,9,0)&lt;&gt;"OK",CHAR(10)&amp;VLOOKUP("AMLA_VR_AML.04.10_C0070_02",$A:$I,9,0),"")&amp;IF(VLOOKUP("AMLA_VR_AML.04.10_C0070_03",$A:$I,9,0)&lt;&gt;"OK",CHAR(10)&amp;VLOOKUP("AMLA_VR_AML.04.10_C0070_03",$A:$I,9,0),"")&amp;IF(VLOOKUP("AMLA_VR_AML.04.10_C0070_04",$A:$I,9,0)&lt;&gt;"OK",CHAR(10)&amp;VLOOKUP("AMLA_VR_AML.04.10_C0070_04",$A:$I,9,0),"")&amp;IF(VLOOKUP("AMLA_VR_AML.04.10_C0070_05",$A:$I,9,0)&lt;&gt;"OK",CHAR(10)&amp;VLOOKUP("AMLA_VR_AML.04.10_C0070_05",$A:$I,9,0),""),2,3000))</f>
        <v>OK</v>
      </c>
      <c r="K339" s="157" t="s">
        <v>1775</v>
      </c>
    </row>
    <row r="340" spans="1:11">
      <c r="A340" s="159" t="str">
        <f>"AMLA_VR_" &amp; B340 &amp; "_" &amp; C340 &amp; "_" &amp; TEXT(COUNTIFS($B$2:B340, B340, $C$2:C340, C340), "00")</f>
        <v>AMLA_VR_AML.04.10_C0080_01</v>
      </c>
      <c r="B340" s="157" t="s">
        <v>265</v>
      </c>
      <c r="C340" s="157" t="s">
        <v>88</v>
      </c>
      <c r="D340" s="157" t="s">
        <v>1556</v>
      </c>
      <c r="E340" s="160" t="str" cm="1">
        <f t="array" aca="1" ref="E340" ca="1">IF(C340="", INDIRECT("'"&amp;B340&amp;"'!B3"), INDEX(INDIRECT("'"&amp;B340&amp;"'!5:5"), COLUMN(INDIRECT("'"&amp;B340&amp;"'!"&amp;D340))))</f>
        <v>Crypto-to-Funds (from Self-hosted) - Number</v>
      </c>
      <c r="F340" s="157" t="s">
        <v>1772</v>
      </c>
      <c r="G340" s="157" t="s">
        <v>1773</v>
      </c>
      <c r="H340" s="158" t="s">
        <v>1825</v>
      </c>
      <c r="I340" s="157" t="str">
        <f>IF('AML.04.10'!$I$11&lt;0, $G340 &amp; ": " &amp; $H340, "OK")</f>
        <v>OK</v>
      </c>
      <c r="J340" s="157" t="str">
        <f>IF(LEN(IF(VLOOKUP("AMLA_VR_AML.04.10_C0080_01",$A:$I,9,0)&lt;&gt;"OK",CHAR(10)&amp;VLOOKUP("AMLA_VR_AML.04.10_C0080_01",$A:$I,9,0),"")&amp;IF(VLOOKUP("AMLA_VR_AML.04.10_C0080_02",$A:$I,9,0)&lt;&gt;"OK",CHAR(10)&amp;VLOOKUP("AMLA_VR_AML.04.10_C0080_02",$A:$I,9,0),""))=0,"OK",MID(IF(VLOOKUP("AMLA_VR_AML.04.10_C0080_01",$A:$I,9,0)&lt;&gt;"OK",CHAR(10)&amp;VLOOKUP("AMLA_VR_AML.04.10_C0080_01",$A:$I,9,0),"")&amp;IF(VLOOKUP("AMLA_VR_AML.04.10_C0080_02",$A:$I,9,0)&lt;&gt;"OK",CHAR(10)&amp;VLOOKUP("AMLA_VR_AML.04.10_C0080_02",$A:$I,9,0),""),2,3000))</f>
        <v>OK</v>
      </c>
      <c r="K340" s="157" t="s">
        <v>1775</v>
      </c>
    </row>
    <row r="341" spans="1:11">
      <c r="A341" s="159" t="str">
        <f>"AMLA_VR_" &amp; B341 &amp; "_" &amp; C341 &amp; "_" &amp; TEXT(COUNTIFS($B$2:B341, B341, $C$2:C341, C341), "00")</f>
        <v>AMLA_VR_AML.04.10_C0080_02</v>
      </c>
      <c r="B341" s="160" t="s">
        <v>265</v>
      </c>
      <c r="C341" s="160" t="s">
        <v>88</v>
      </c>
      <c r="D341" s="160" t="s">
        <v>1556</v>
      </c>
      <c r="E341" s="160" t="str" cm="1">
        <f t="array" aca="1" ref="E341" ca="1">IF(C341="", INDIRECT("'"&amp;B341&amp;"'!B3"), INDEX(INDIRECT("'"&amp;B341&amp;"'!5:5"), COLUMN(INDIRECT("'"&amp;B341&amp;"'!"&amp;D341))))</f>
        <v>Crypto-to-Funds (from Self-hosted) - Number</v>
      </c>
      <c r="F341" s="160" t="s">
        <v>1776</v>
      </c>
      <c r="G341" s="160" t="s">
        <v>1773</v>
      </c>
      <c r="H341" s="161" t="s">
        <v>1816</v>
      </c>
      <c r="I341" s="160" t="str">
        <f>IF(TRIM(SUBSTITUTE('AML.04.10'!$I$11&amp;"",CHAR(160),""))="","OK",IF(OR(NOT(ISNUMBER('AML.04.10'!$I$11)),IFERROR(INT('AML.04.10'!$I$11)&lt;&gt;'AML.04.10'!$I$11,TRUE)),$G341&amp;": "&amp;$H341,"OK"))</f>
        <v>OK</v>
      </c>
      <c r="J341" s="160" t="str">
        <f>IF(LEN(IF(VLOOKUP("AMLA_VR_AML.04.10_C0080_01",$A:$I,9,0)&lt;&gt;"OK",CHAR(10)&amp;VLOOKUP("AMLA_VR_AML.04.10_C0080_01",$A:$I,9,0),"")&amp;IF(VLOOKUP("AMLA_VR_AML.04.10_C0080_02",$A:$I,9,0)&lt;&gt;"OK",CHAR(10)&amp;VLOOKUP("AMLA_VR_AML.04.10_C0080_02",$A:$I,9,0),""))=0,"OK",MID(IF(VLOOKUP("AMLA_VR_AML.04.10_C0080_01",$A:$I,9,0)&lt;&gt;"OK",CHAR(10)&amp;VLOOKUP("AMLA_VR_AML.04.10_C0080_01",$A:$I,9,0),"")&amp;IF(VLOOKUP("AMLA_VR_AML.04.10_C0080_02",$A:$I,9,0)&lt;&gt;"OK",CHAR(10)&amp;VLOOKUP("AMLA_VR_AML.04.10_C0080_02",$A:$I,9,0),""),2,3000))</f>
        <v>OK</v>
      </c>
      <c r="K341" s="160" t="s">
        <v>1775</v>
      </c>
    </row>
    <row r="342" spans="1:11">
      <c r="A342" s="159" t="str">
        <f>"AMLA_VR_" &amp; B342 &amp; "_" &amp; C342 &amp; "_" &amp; TEXT(COUNTIFS($B$2:B342, B342, $C$2:C342, C342), "00")</f>
        <v>AMLA_VR_AML.04.10_C0090_01</v>
      </c>
      <c r="B342" s="160" t="s">
        <v>265</v>
      </c>
      <c r="C342" s="160" t="s">
        <v>89</v>
      </c>
      <c r="D342" s="160" t="s">
        <v>1557</v>
      </c>
      <c r="E342" s="160" t="str" cm="1">
        <f t="array" aca="1" ref="E342" ca="1">IF(C342="", INDIRECT("'"&amp;B342&amp;"'!B3"), INDEX(INDIRECT("'"&amp;B342&amp;"'!5:5"), COLUMN(INDIRECT("'"&amp;B342&amp;"'!"&amp;D342))))</f>
        <v>Crypto-to-Crypto - Value</v>
      </c>
      <c r="F342" s="160" t="s">
        <v>1772</v>
      </c>
      <c r="G342" s="160" t="s">
        <v>1773</v>
      </c>
      <c r="H342" s="161" t="s">
        <v>1826</v>
      </c>
      <c r="I342" s="160" t="str">
        <f>IF('AML.04.10'!$J$11&lt;0, $G342 &amp; ": " &amp; $H342, "OK")</f>
        <v>OK</v>
      </c>
      <c r="J342" s="160" t="str">
        <f t="shared" ref="J342:J347" si="1">IF(LEN(IF(VLOOKUP("AMLA_VR_AML.04.10_C0090_01",$A:$I,9,0)&lt;&gt;"OK",CHAR(10)&amp;VLOOKUP("AMLA_VR_AML.04.10_C0090_01",$A:$I,9,0),"")&amp;IF(VLOOKUP("AMLA_VR_AML.04.10_C0090_02",$A:$I,9,0)&lt;&gt;"OK",CHAR(10)&amp;VLOOKUP("AMLA_VR_AML.04.10_C0090_02",$A:$I,9,0),"")&amp;IF(VLOOKUP("AMLA_VR_AML.04.10_C0090_03",$A:$I,9,0)&lt;&gt;"OK",CHAR(10)&amp;VLOOKUP("AMLA_VR_AML.04.10_C0090_03",$A:$I,9,0),"")&amp;IF(VLOOKUP("AMLA_VR_AML.04.10_C0090_04",$A:$I,9,0)&lt;&gt;"OK",CHAR(10)&amp;VLOOKUP("AMLA_VR_AML.04.10_C0090_04",$A:$I,9,0),"")&amp;IF(VLOOKUP("AMLA_VR_AML.04.10_C0090_05",$A:$I,9,0)&lt;&gt;"OK",CHAR(10)&amp;VLOOKUP("AMLA_VR_AML.04.10_C0090_05",$A:$I,9,0),"")&amp;IF(VLOOKUP("AMLA_VR_AML.04.10_C0090_06",$A:$I,9,0)&lt;&gt;"OK",CHAR(10)&amp;VLOOKUP("AMLA_VR_AML.04.10_C0090_06",$A:$I,9,0),""))=0,"OK",MID(IF(VLOOKUP("AMLA_VR_AML.04.10_C0090_01",$A:$I,9,0)&lt;&gt;"OK",CHAR(10)&amp;VLOOKUP("AMLA_VR_AML.04.10_C0090_01",$A:$I,9,0),"")&amp;IF(VLOOKUP("AMLA_VR_AML.04.10_C0090_02",$A:$I,9,0)&lt;&gt;"OK",CHAR(10)&amp;VLOOKUP("AMLA_VR_AML.04.10_C0090_02",$A:$I,9,0),"")&amp;IF(VLOOKUP("AMLA_VR_AML.04.10_C0090_03",$A:$I,9,0)&lt;&gt;"OK",CHAR(10)&amp;VLOOKUP("AMLA_VR_AML.04.10_C0090_03",$A:$I,9,0),"")&amp;IF(VLOOKUP("AMLA_VR_AML.04.10_C0090_04",$A:$I,9,0)&lt;&gt;"OK",CHAR(10)&amp;VLOOKUP("AMLA_VR_AML.04.10_C0090_04",$A:$I,9,0),"")&amp;IF(VLOOKUP("AMLA_VR_AML.04.10_C0090_05",$A:$I,9,0)&lt;&gt;"OK",CHAR(10)&amp;VLOOKUP("AMLA_VR_AML.04.10_C0090_05",$A:$I,9,0),"")&amp;IF(VLOOKUP("AMLA_VR_AML.04.10_C0090_06",$A:$I,9,0)&lt;&gt;"OK",CHAR(10)&amp;VLOOKUP("AMLA_VR_AML.04.10_C0090_06",$A:$I,9,0),""),2,3000))</f>
        <v>OK</v>
      </c>
      <c r="K342" s="160" t="s">
        <v>1775</v>
      </c>
    </row>
    <row r="343" spans="1:11">
      <c r="A343" s="159" t="str">
        <f>"AMLA_VR_" &amp; B343 &amp; "_" &amp; C343 &amp; "_" &amp; TEXT(COUNTIFS($B$2:B343, B343, $C$2:C343, C343), "00")</f>
        <v>AMLA_VR_AML.04.10_C0090_02</v>
      </c>
      <c r="B343" s="157" t="s">
        <v>265</v>
      </c>
      <c r="C343" s="157" t="s">
        <v>89</v>
      </c>
      <c r="D343" s="157" t="s">
        <v>1557</v>
      </c>
      <c r="E343" s="160" t="str" cm="1">
        <f t="array" aca="1" ref="E343" ca="1">IF(C343="", INDIRECT("'"&amp;B343&amp;"'!B3"), INDEX(INDIRECT("'"&amp;B343&amp;"'!5:5"), COLUMN(INDIRECT("'"&amp;B343&amp;"'!"&amp;D343))))</f>
        <v>Crypto-to-Crypto - Value</v>
      </c>
      <c r="F343" s="157" t="s">
        <v>1776</v>
      </c>
      <c r="G343" s="157" t="s">
        <v>1773</v>
      </c>
      <c r="H343" s="158" t="s">
        <v>1837</v>
      </c>
      <c r="I343" s="157" t="str">
        <f>IF(TRIM(SUBSTITUTE('AML.04.10'!$J$11&amp;"",CHAR(160),""))="","OK",IF(NOT(ISNUMBER('AML.04.10'!$J$11)),$G343&amp;": "&amp;$H343,"OK"))</f>
        <v>OK</v>
      </c>
      <c r="J343" s="157" t="str">
        <f t="shared" si="1"/>
        <v>OK</v>
      </c>
      <c r="K343" s="157" t="s">
        <v>1775</v>
      </c>
    </row>
    <row r="344" spans="1:11">
      <c r="A344" s="159" t="str">
        <f>"AMLA_VR_" &amp; B344 &amp; "_" &amp; C344 &amp; "_" &amp; TEXT(COUNTIFS($B$2:B344, B344, $C$2:C344, C344), "00")</f>
        <v>AMLA_VR_AML.04.10_C0090_03</v>
      </c>
      <c r="B344" s="157" t="s">
        <v>265</v>
      </c>
      <c r="C344" s="157" t="s">
        <v>89</v>
      </c>
      <c r="D344" s="157" t="s">
        <v>1557</v>
      </c>
      <c r="E344" s="160" t="str" cm="1">
        <f t="array" aca="1" ref="E344" ca="1">IF(C344="", INDIRECT("'"&amp;B344&amp;"'!B3"), INDEX(INDIRECT("'"&amp;B344&amp;"'!5:5"), COLUMN(INDIRECT("'"&amp;B344&amp;"'!"&amp;D344))))</f>
        <v>Crypto-to-Crypto - Value</v>
      </c>
      <c r="F344" s="157" t="s">
        <v>1772</v>
      </c>
      <c r="G344" s="157" t="s">
        <v>1813</v>
      </c>
      <c r="H344" s="158" t="s">
        <v>1875</v>
      </c>
      <c r="I344" s="157" t="str">
        <f>IF(AND('AML.04.10'!$J$11=0, 'AML.04.10'!$K$11&gt;0), $G344 &amp; ": " &amp; $H344, "OK")</f>
        <v>OK</v>
      </c>
      <c r="J344" s="157" t="str">
        <f t="shared" si="1"/>
        <v>OK</v>
      </c>
      <c r="K344" s="157" t="s">
        <v>1775</v>
      </c>
    </row>
    <row r="345" spans="1:11">
      <c r="A345" s="159" t="str">
        <f>"AMLA_VR_" &amp; B345 &amp; "_" &amp; C345 &amp; "_" &amp; TEXT(COUNTIFS($B$2:B345, B345, $C$2:C345, C345), "00")</f>
        <v>AMLA_VR_AML.04.10_C0090_04</v>
      </c>
      <c r="B345" s="160" t="s">
        <v>265</v>
      </c>
      <c r="C345" s="160" t="s">
        <v>89</v>
      </c>
      <c r="D345" s="160" t="s">
        <v>1557</v>
      </c>
      <c r="E345" s="160" t="str" cm="1">
        <f t="array" aca="1" ref="E345" ca="1">IF(C345="", INDIRECT("'"&amp;B345&amp;"'!B3"), INDEX(INDIRECT("'"&amp;B345&amp;"'!5:5"), COLUMN(INDIRECT("'"&amp;B345&amp;"'!"&amp;D345))))</f>
        <v>Crypto-to-Crypto - Value</v>
      </c>
      <c r="F345" s="160" t="s">
        <v>1772</v>
      </c>
      <c r="G345" s="160" t="s">
        <v>1813</v>
      </c>
      <c r="H345" s="161" t="s">
        <v>1876</v>
      </c>
      <c r="I345" s="160" t="str">
        <f>IF(AND('AML.04.10'!$J$11=0, 'AML.04.10'!$L$11&gt;0), $G345 &amp; ": " &amp; $H345, "OK")</f>
        <v>OK</v>
      </c>
      <c r="J345" s="160" t="str">
        <f t="shared" si="1"/>
        <v>OK</v>
      </c>
      <c r="K345" s="160" t="s">
        <v>1775</v>
      </c>
    </row>
    <row r="346" spans="1:11">
      <c r="A346" s="159" t="str">
        <f>"AMLA_VR_" &amp; B346 &amp; "_" &amp; C346 &amp; "_" &amp; TEXT(COUNTIFS($B$2:B346, B346, $C$2:C346, C346), "00")</f>
        <v>AMLA_VR_AML.04.10_C0090_05</v>
      </c>
      <c r="B346" s="157" t="s">
        <v>265</v>
      </c>
      <c r="C346" s="157" t="s">
        <v>89</v>
      </c>
      <c r="D346" s="157" t="s">
        <v>1557</v>
      </c>
      <c r="E346" s="160" t="str" cm="1">
        <f t="array" aca="1" ref="E346" ca="1">IF(C346="", INDIRECT("'"&amp;B346&amp;"'!B3"), INDEX(INDIRECT("'"&amp;B346&amp;"'!5:5"), COLUMN(INDIRECT("'"&amp;B346&amp;"'!"&amp;D346))))</f>
        <v>Crypto-to-Crypto - Value</v>
      </c>
      <c r="F346" s="157" t="s">
        <v>1772</v>
      </c>
      <c r="G346" s="157" t="s">
        <v>1813</v>
      </c>
      <c r="H346" s="158" t="s">
        <v>1877</v>
      </c>
      <c r="I346" s="157" t="str">
        <f>IF(AND('AML.04.10'!$J$11=0, 'AML.04.10'!$M$11&gt;0), $G346 &amp; ": " &amp; $H346, "OK")</f>
        <v>OK</v>
      </c>
      <c r="J346" s="157" t="str">
        <f t="shared" si="1"/>
        <v>OK</v>
      </c>
      <c r="K346" s="157" t="s">
        <v>1775</v>
      </c>
    </row>
    <row r="347" spans="1:11">
      <c r="A347" s="159" t="str">
        <f>"AMLA_VR_" &amp; B347 &amp; "_" &amp; C347 &amp; "_" &amp; TEXT(COUNTIFS($B$2:B347, B347, $C$2:C347, C347), "00")</f>
        <v>AMLA_VR_AML.04.10_C0090_06</v>
      </c>
      <c r="B347" s="160" t="s">
        <v>265</v>
      </c>
      <c r="C347" s="160" t="s">
        <v>89</v>
      </c>
      <c r="D347" s="160" t="s">
        <v>1557</v>
      </c>
      <c r="E347" s="160" t="str" cm="1">
        <f t="array" aca="1" ref="E347" ca="1">IF(C347="", INDIRECT("'"&amp;B347&amp;"'!B3"), INDEX(INDIRECT("'"&amp;B347&amp;"'!5:5"), COLUMN(INDIRECT("'"&amp;B347&amp;"'!"&amp;D347))))</f>
        <v>Crypto-to-Crypto - Value</v>
      </c>
      <c r="F347" s="160" t="s">
        <v>1772</v>
      </c>
      <c r="G347" s="160" t="s">
        <v>1813</v>
      </c>
      <c r="H347" s="161" t="s">
        <v>1878</v>
      </c>
      <c r="I347" s="160" t="str">
        <f>IF(AND('AML.04.10'!$J$11=0, 'AML.04.10'!$N$11&gt;0), $G347 &amp; ": " &amp; $H347, "OK")</f>
        <v>OK</v>
      </c>
      <c r="J347" s="160" t="str">
        <f t="shared" si="1"/>
        <v>OK</v>
      </c>
      <c r="K347" s="160" t="s">
        <v>1775</v>
      </c>
    </row>
    <row r="348" spans="1:11">
      <c r="A348" s="159" t="str">
        <f>"AMLA_VR_" &amp; B348 &amp; "_" &amp; C348 &amp; "_" &amp; TEXT(COUNTIFS($B$2:B348, B348, $C$2:C348, C348), "00")</f>
        <v>AMLA_VR_AML.04.10_C0100_01</v>
      </c>
      <c r="B348" s="157" t="s">
        <v>265</v>
      </c>
      <c r="C348" s="157" t="s">
        <v>90</v>
      </c>
      <c r="D348" s="157" t="s">
        <v>1558</v>
      </c>
      <c r="E348" s="160" t="str" cm="1">
        <f t="array" aca="1" ref="E348" ca="1">IF(C348="", INDIRECT("'"&amp;B348&amp;"'!B3"), INDEX(INDIRECT("'"&amp;B348&amp;"'!5:5"), COLUMN(INDIRECT("'"&amp;B348&amp;"'!"&amp;D348))))</f>
        <v>Crypto-to-Crypto - Customers</v>
      </c>
      <c r="F348" s="157" t="s">
        <v>1772</v>
      </c>
      <c r="G348" s="157" t="s">
        <v>1773</v>
      </c>
      <c r="H348" s="158" t="s">
        <v>1827</v>
      </c>
      <c r="I348" s="157" t="str">
        <f>IF('AML.04.10'!$K$11&lt;0, $G348 &amp; ": " &amp; $H348, "OK")</f>
        <v>OK</v>
      </c>
      <c r="J348" s="157" t="str">
        <f>IF(LEN(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0,"OK",MID(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2,3000))</f>
        <v>OK</v>
      </c>
      <c r="K348" s="157" t="s">
        <v>1775</v>
      </c>
    </row>
    <row r="349" spans="1:11">
      <c r="A349" s="159" t="str">
        <f>"AMLA_VR_" &amp; B349 &amp; "_" &amp; C349 &amp; "_" &amp; TEXT(COUNTIFS($B$2:B349, B349, $C$2:C349, C349), "00")</f>
        <v>AMLA_VR_AML.04.10_C0100_02</v>
      </c>
      <c r="B349" s="160" t="s">
        <v>265</v>
      </c>
      <c r="C349" s="160" t="s">
        <v>90</v>
      </c>
      <c r="D349" s="160" t="s">
        <v>1558</v>
      </c>
      <c r="E349" s="160" t="str" cm="1">
        <f t="array" aca="1" ref="E349" ca="1">IF(C349="", INDIRECT("'"&amp;B349&amp;"'!B3"), INDEX(INDIRECT("'"&amp;B349&amp;"'!5:5"), COLUMN(INDIRECT("'"&amp;B349&amp;"'!"&amp;D349))))</f>
        <v>Crypto-to-Crypto - Customers</v>
      </c>
      <c r="F349" s="160" t="s">
        <v>1772</v>
      </c>
      <c r="G349" s="160" t="s">
        <v>1773</v>
      </c>
      <c r="H349" s="161" t="s">
        <v>1879</v>
      </c>
      <c r="I349" s="160" t="str">
        <f>IF('AML.04.10'!$K$11 &gt; 'AML.02.01'!$B$11, $G349 &amp; ": " &amp; $H349, "OK")</f>
        <v>OK</v>
      </c>
      <c r="J349" s="160" t="str">
        <f>IF(LEN(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0,"OK",MID(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2,3000))</f>
        <v>OK</v>
      </c>
      <c r="K349" s="160" t="s">
        <v>1775</v>
      </c>
    </row>
    <row r="350" spans="1:11">
      <c r="A350" s="159" t="str">
        <f>"AMLA_VR_" &amp; B350 &amp; "_" &amp; C350 &amp; "_" &amp; TEXT(COUNTIFS($B$2:B350, B350, $C$2:C350, C350), "00")</f>
        <v>AMLA_VR_AML.04.10_C0100_03</v>
      </c>
      <c r="B350" s="160" t="s">
        <v>265</v>
      </c>
      <c r="C350" s="160" t="s">
        <v>90</v>
      </c>
      <c r="D350" s="160" t="s">
        <v>1558</v>
      </c>
      <c r="E350" s="160" t="str" cm="1">
        <f t="array" aca="1" ref="E350" ca="1">IF(C350="", INDIRECT("'"&amp;B350&amp;"'!B3"), INDEX(INDIRECT("'"&amp;B350&amp;"'!5:5"), COLUMN(INDIRECT("'"&amp;B350&amp;"'!"&amp;D350))))</f>
        <v>Crypto-to-Crypto - Customers</v>
      </c>
      <c r="F350" s="160" t="s">
        <v>1776</v>
      </c>
      <c r="G350" s="160" t="s">
        <v>1773</v>
      </c>
      <c r="H350" s="161" t="s">
        <v>1816</v>
      </c>
      <c r="I350" s="160" t="str">
        <f>IF(TRIM(SUBSTITUTE('AML.04.10'!$K$11&amp;"",CHAR(160),""))="","OK",IF(OR(NOT(ISNUMBER('AML.04.10'!$K$11)),IFERROR(INT('AML.04.10'!$K$11)&lt;&gt;'AML.04.10'!$K$11,TRUE)),$G350&amp;": "&amp;$H350,"OK"))</f>
        <v>OK</v>
      </c>
      <c r="J350" s="160" t="str">
        <f>IF(LEN(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0,"OK",MID(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2,3000))</f>
        <v>OK</v>
      </c>
      <c r="K350" s="160" t="s">
        <v>1775</v>
      </c>
    </row>
    <row r="351" spans="1:11">
      <c r="A351" s="159" t="str">
        <f>"AMLA_VR_" &amp; B351 &amp; "_" &amp; C351 &amp; "_" &amp; TEXT(COUNTIFS($B$2:B351, B351, $C$2:C351, C351), "00")</f>
        <v>AMLA_VR_AML.04.10_C0100_04</v>
      </c>
      <c r="B351" s="160" t="s">
        <v>265</v>
      </c>
      <c r="C351" s="160" t="s">
        <v>90</v>
      </c>
      <c r="D351" s="160" t="s">
        <v>1558</v>
      </c>
      <c r="E351" s="160" t="str" cm="1">
        <f t="array" aca="1" ref="E351" ca="1">IF(C351="", INDIRECT("'"&amp;B351&amp;"'!B3"), INDEX(INDIRECT("'"&amp;B351&amp;"'!5:5"), COLUMN(INDIRECT("'"&amp;B351&amp;"'!"&amp;D351))))</f>
        <v>Crypto-to-Crypto - Customers</v>
      </c>
      <c r="F351" s="160" t="s">
        <v>1772</v>
      </c>
      <c r="G351" s="160" t="s">
        <v>1813</v>
      </c>
      <c r="H351" s="161" t="s">
        <v>1880</v>
      </c>
      <c r="I351" s="160" t="str">
        <f>IF(AND('AML.04.10'!$K$11=0, 'AML.04.10'!$J$11&gt;0), $G351 &amp; ": " &amp; $H351, "OK")</f>
        <v>OK</v>
      </c>
      <c r="J351" s="160" t="str">
        <f>IF(LEN(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0,"OK",MID(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2,3000))</f>
        <v>OK</v>
      </c>
      <c r="K351" s="160" t="s">
        <v>1775</v>
      </c>
    </row>
    <row r="352" spans="1:11">
      <c r="A352" s="159" t="str">
        <f>"AMLA_VR_" &amp; B352 &amp; "_" &amp; C352 &amp; "_" &amp; TEXT(COUNTIFS($B$2:B352, B352, $C$2:C352, C352), "00")</f>
        <v>AMLA_VR_AML.04.10_C0100_05</v>
      </c>
      <c r="B352" s="157" t="s">
        <v>265</v>
      </c>
      <c r="C352" s="157" t="s">
        <v>90</v>
      </c>
      <c r="D352" s="157" t="s">
        <v>1558</v>
      </c>
      <c r="E352" s="160" t="str" cm="1">
        <f t="array" aca="1" ref="E352" ca="1">IF(C352="", INDIRECT("'"&amp;B352&amp;"'!B3"), INDEX(INDIRECT("'"&amp;B352&amp;"'!5:5"), COLUMN(INDIRECT("'"&amp;B352&amp;"'!"&amp;D352))))</f>
        <v>Crypto-to-Crypto - Customers</v>
      </c>
      <c r="F352" s="157" t="s">
        <v>1772</v>
      </c>
      <c r="G352" s="157" t="s">
        <v>1813</v>
      </c>
      <c r="H352" s="158" t="s">
        <v>1881</v>
      </c>
      <c r="I352" s="157" t="str">
        <f>IF(AND('AML.04.10'!$K$11=0, 'AML.04.10'!$L$11&gt;0), $G352 &amp; ": " &amp; $H352, "OK")</f>
        <v>OK</v>
      </c>
      <c r="J352" s="157" t="str">
        <f>IF(LEN(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0,"OK",MID(IF(VLOOKUP("AMLA_VR_AML.04.10_C0100_01",$A:$I,9,0)&lt;&gt;"OK",CHAR(10)&amp;VLOOKUP("AMLA_VR_AML.04.10_C0100_01",$A:$I,9,0),"")&amp;IF(VLOOKUP("AMLA_VR_AML.04.10_C0100_02",$A:$I,9,0)&lt;&gt;"OK",CHAR(10)&amp;VLOOKUP("AMLA_VR_AML.04.10_C0100_02",$A:$I,9,0),"")&amp;IF(VLOOKUP("AMLA_VR_AML.04.10_C0100_03",$A:$I,9,0)&lt;&gt;"OK",CHAR(10)&amp;VLOOKUP("AMLA_VR_AML.04.10_C0100_03",$A:$I,9,0),"")&amp;IF(VLOOKUP("AMLA_VR_AML.04.10_C0100_04",$A:$I,9,0)&lt;&gt;"OK",CHAR(10)&amp;VLOOKUP("AMLA_VR_AML.04.10_C0100_04",$A:$I,9,0),"")&amp;IF(VLOOKUP("AMLA_VR_AML.04.10_C0100_05",$A:$I,9,0)&lt;&gt;"OK",CHAR(10)&amp;VLOOKUP("AMLA_VR_AML.04.10_C0100_05",$A:$I,9,0),""),2,3000))</f>
        <v>OK</v>
      </c>
      <c r="K352" s="157" t="s">
        <v>1775</v>
      </c>
    </row>
    <row r="353" spans="1:11">
      <c r="A353" s="159" t="str">
        <f>"AMLA_VR_" &amp; B353 &amp; "_" &amp; C353 &amp; "_" &amp; TEXT(COUNTIFS($B$2:B353, B353, $C$2:C353, C353), "00")</f>
        <v>AMLA_VR_AML.04.10_C0110_01</v>
      </c>
      <c r="B353" s="157" t="s">
        <v>265</v>
      </c>
      <c r="C353" s="157" t="s">
        <v>91</v>
      </c>
      <c r="D353" s="157" t="s">
        <v>1559</v>
      </c>
      <c r="E353" s="160" t="str" cm="1">
        <f t="array" aca="1" ref="E353" ca="1">IF(C353="", INDIRECT("'"&amp;B353&amp;"'!B3"), INDEX(INDIRECT("'"&amp;B353&amp;"'!5:5"), COLUMN(INDIRECT("'"&amp;B353&amp;"'!"&amp;D353))))</f>
        <v>Crypto-to-Crypto - Number</v>
      </c>
      <c r="F353" s="157" t="s">
        <v>1772</v>
      </c>
      <c r="G353" s="157" t="s">
        <v>1773</v>
      </c>
      <c r="H353" s="158" t="s">
        <v>1828</v>
      </c>
      <c r="I353" s="157" t="str">
        <f>IF('AML.04.10'!$L$11&lt;0, $G353 &amp; ": " &amp; $H353, "OK")</f>
        <v>OK</v>
      </c>
      <c r="J353" s="157" t="str">
        <f>IF(LEN(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0,"OK",MID(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2,3000))</f>
        <v>OK</v>
      </c>
      <c r="K353" s="157" t="s">
        <v>1775</v>
      </c>
    </row>
    <row r="354" spans="1:11">
      <c r="A354" s="159" t="str">
        <f>"AMLA_VR_" &amp; B354 &amp; "_" &amp; C354 &amp; "_" &amp; TEXT(COUNTIFS($B$2:B354, B354, $C$2:C354, C354), "00")</f>
        <v>AMLA_VR_AML.04.10_C0110_02</v>
      </c>
      <c r="B354" s="157" t="s">
        <v>265</v>
      </c>
      <c r="C354" s="157" t="s">
        <v>91</v>
      </c>
      <c r="D354" s="157" t="s">
        <v>1559</v>
      </c>
      <c r="E354" s="160" t="str" cm="1">
        <f t="array" aca="1" ref="E354" ca="1">IF(C354="", INDIRECT("'"&amp;B354&amp;"'!B3"), INDEX(INDIRECT("'"&amp;B354&amp;"'!5:5"), COLUMN(INDIRECT("'"&amp;B354&amp;"'!"&amp;D354))))</f>
        <v>Crypto-to-Crypto - Number</v>
      </c>
      <c r="F354" s="157" t="s">
        <v>1776</v>
      </c>
      <c r="G354" s="157" t="s">
        <v>1773</v>
      </c>
      <c r="H354" s="158" t="s">
        <v>1816</v>
      </c>
      <c r="I354" s="157" t="str">
        <f>IF(TRIM(SUBSTITUTE('AML.04.10'!$L$11&amp;"",CHAR(160),""))="","OK",IF(OR(NOT(ISNUMBER('AML.04.10'!$L$11)),IFERROR(INT('AML.04.10'!$L$11)&lt;&gt;'AML.04.10'!$L$11,TRUE)),$G354&amp;": "&amp;$H354,"OK"))</f>
        <v>OK</v>
      </c>
      <c r="J354" s="157" t="str">
        <f>IF(LEN(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0,"OK",MID(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2,3000))</f>
        <v>OK</v>
      </c>
      <c r="K354" s="157" t="s">
        <v>1775</v>
      </c>
    </row>
    <row r="355" spans="1:11">
      <c r="A355" s="159" t="str">
        <f>"AMLA_VR_" &amp; B355 &amp; "_" &amp; C355 &amp; "_" &amp; TEXT(COUNTIFS($B$2:B355, B355, $C$2:C355, C355), "00")</f>
        <v>AMLA_VR_AML.04.10_C0110_03</v>
      </c>
      <c r="B355" s="160" t="s">
        <v>265</v>
      </c>
      <c r="C355" s="160" t="s">
        <v>91</v>
      </c>
      <c r="D355" s="160" t="s">
        <v>1559</v>
      </c>
      <c r="E355" s="160" t="str" cm="1">
        <f t="array" aca="1" ref="E355" ca="1">IF(C355="", INDIRECT("'"&amp;B355&amp;"'!B3"), INDEX(INDIRECT("'"&amp;B355&amp;"'!5:5"), COLUMN(INDIRECT("'"&amp;B355&amp;"'!"&amp;D355))))</f>
        <v>Crypto-to-Crypto - Number</v>
      </c>
      <c r="F355" s="160" t="s">
        <v>1772</v>
      </c>
      <c r="G355" s="160" t="s">
        <v>1813</v>
      </c>
      <c r="H355" s="160" t="s">
        <v>1882</v>
      </c>
      <c r="I355" s="160" t="str">
        <f>IF(AND('AML.04.10'!$L$11=0, 'AML.04.10'!$J$11&gt;0), $G355 &amp; ": " &amp; $H355, "OK")</f>
        <v>OK</v>
      </c>
      <c r="J355" s="57" t="str">
        <f>IF(LEN(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0,"OK",MID(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2,3000))</f>
        <v>OK</v>
      </c>
      <c r="K355" s="161" t="s">
        <v>1775</v>
      </c>
    </row>
    <row r="356" spans="1:11">
      <c r="A356" s="159" t="str">
        <f>"AMLA_VR_" &amp; B356 &amp; "_" &amp; C356 &amp; "_" &amp; TEXT(COUNTIFS($B$2:B356, B356, $C$2:C356, C356), "00")</f>
        <v>AMLA_VR_AML.04.10_C0110_04</v>
      </c>
      <c r="B356" s="157" t="s">
        <v>265</v>
      </c>
      <c r="C356" s="157" t="s">
        <v>91</v>
      </c>
      <c r="D356" s="157" t="s">
        <v>1559</v>
      </c>
      <c r="E356" s="160" t="str" cm="1">
        <f t="array" aca="1" ref="E356" ca="1">IF(C356="", INDIRECT("'"&amp;B356&amp;"'!B3"), INDEX(INDIRECT("'"&amp;B356&amp;"'!5:5"), COLUMN(INDIRECT("'"&amp;B356&amp;"'!"&amp;D356))))</f>
        <v>Crypto-to-Crypto - Number</v>
      </c>
      <c r="F356" s="157" t="s">
        <v>1772</v>
      </c>
      <c r="G356" s="157" t="s">
        <v>1813</v>
      </c>
      <c r="H356" s="157" t="s">
        <v>1883</v>
      </c>
      <c r="I356" s="157" t="str">
        <f>IF(AND('AML.04.10'!$L$11=0, 'AML.04.10'!$K$11&gt;0), $G356 &amp; ": " &amp; $H356, "OK")</f>
        <v>OK</v>
      </c>
      <c r="J356" s="171" t="str">
        <f>IF(LEN(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0,"OK",MID(IF(VLOOKUP("AMLA_VR_AML.04.10_C0110_01",$A:$I,9,0)&lt;&gt;"OK",CHAR(10)&amp;VLOOKUP("AMLA_VR_AML.04.10_C0110_01",$A:$I,9,0),"")&amp;IF(VLOOKUP("AMLA_VR_AML.04.10_C0110_02",$A:$I,9,0)&lt;&gt;"OK",CHAR(10)&amp;VLOOKUP("AMLA_VR_AML.04.10_C0110_02",$A:$I,9,0),"")&amp;IF(VLOOKUP("AMLA_VR_AML.04.10_C0110_03",$A:$I,9,0)&lt;&gt;"OK",CHAR(10)&amp;VLOOKUP("AMLA_VR_AML.04.10_C0110_03",$A:$I,9,0),"")&amp;IF(VLOOKUP("AMLA_VR_AML.04.10_C0110_04",$A:$I,9,0)&lt;&gt;"OK",CHAR(10)&amp;VLOOKUP("AMLA_VR_AML.04.10_C0110_04",$A:$I,9,0),""),2,3000))</f>
        <v>OK</v>
      </c>
      <c r="K356" s="158" t="s">
        <v>1775</v>
      </c>
    </row>
    <row r="357" spans="1:11">
      <c r="A357" s="159" t="str">
        <f>"AMLA_VR_" &amp; B357 &amp; "_" &amp; C357 &amp; "_" &amp; TEXT(COUNTIFS($B$2:B357, B357, $C$2:C357, C357), "00")</f>
        <v>AMLA_VR_AML.04.10_C0120_01</v>
      </c>
      <c r="B357" s="160" t="s">
        <v>265</v>
      </c>
      <c r="C357" s="160" t="s">
        <v>92</v>
      </c>
      <c r="D357" s="160" t="s">
        <v>1560</v>
      </c>
      <c r="E357" s="160" t="str" cm="1">
        <f t="array" aca="1" ref="E357" ca="1">IF(C357="", INDIRECT("'"&amp;B357&amp;"'!B3"), INDEX(INDIRECT("'"&amp;B357&amp;"'!5:5"), COLUMN(INDIRECT("'"&amp;B357&amp;"'!"&amp;D357))))</f>
        <v>Crypto-to-Crypto (to Self-hosted) - Number</v>
      </c>
      <c r="F357" s="160" t="s">
        <v>1772</v>
      </c>
      <c r="G357" s="160" t="s">
        <v>1773</v>
      </c>
      <c r="H357" s="160" t="s">
        <v>1829</v>
      </c>
      <c r="I357" s="160" t="str">
        <f>IF('AML.04.10'!$M$11&lt;0, $G357 &amp; ": " &amp; $H357, "OK")</f>
        <v>OK</v>
      </c>
      <c r="J357" s="57" t="str">
        <f>IF(LEN(IF(VLOOKUP("AMLA_VR_AML.04.10_C0120_01",$A:$I,9,0)&lt;&gt;"OK",CHAR(10)&amp;VLOOKUP("AMLA_VR_AML.04.10_C0120_01",$A:$I,9,0),"")&amp;IF(VLOOKUP("AMLA_VR_AML.04.10_C0120_02",$A:$I,9,0)&lt;&gt;"OK",CHAR(10)&amp;VLOOKUP("AMLA_VR_AML.04.10_C0120_02",$A:$I,9,0),""))=0,"OK",MID(IF(VLOOKUP("AMLA_VR_AML.04.10_C0120_01",$A:$I,9,0)&lt;&gt;"OK",CHAR(10)&amp;VLOOKUP("AMLA_VR_AML.04.10_C0120_01",$A:$I,9,0),"")&amp;IF(VLOOKUP("AMLA_VR_AML.04.10_C0120_02",$A:$I,9,0)&lt;&gt;"OK",CHAR(10)&amp;VLOOKUP("AMLA_VR_AML.04.10_C0120_02",$A:$I,9,0),""),2,3000))</f>
        <v>OK</v>
      </c>
      <c r="K357" s="161" t="s">
        <v>1775</v>
      </c>
    </row>
    <row r="358" spans="1:11">
      <c r="A358" s="159" t="str">
        <f>"AMLA_VR_" &amp; B358 &amp; "_" &amp; C358 &amp; "_" &amp; TEXT(COUNTIFS($B$2:B358, B358, $C$2:C358, C358), "00")</f>
        <v>AMLA_VR_AML.04.10_C0120_02</v>
      </c>
      <c r="B358" s="160" t="s">
        <v>265</v>
      </c>
      <c r="C358" s="160" t="s">
        <v>92</v>
      </c>
      <c r="D358" s="160" t="s">
        <v>1560</v>
      </c>
      <c r="E358" s="160" t="str" cm="1">
        <f t="array" aca="1" ref="E358" ca="1">IF(C358="", INDIRECT("'"&amp;B358&amp;"'!B3"), INDEX(INDIRECT("'"&amp;B358&amp;"'!5:5"), COLUMN(INDIRECT("'"&amp;B358&amp;"'!"&amp;D358))))</f>
        <v>Crypto-to-Crypto (to Self-hosted) - Number</v>
      </c>
      <c r="F358" s="160" t="s">
        <v>1776</v>
      </c>
      <c r="G358" s="160" t="s">
        <v>1773</v>
      </c>
      <c r="H358" s="160" t="s">
        <v>1816</v>
      </c>
      <c r="I358" s="160" t="str">
        <f>IF(TRIM(SUBSTITUTE('AML.04.10'!$M$11&amp;"",CHAR(160),""))="","OK",IF(OR(NOT(ISNUMBER('AML.04.10'!$M$11)),IFERROR(INT('AML.04.10'!$M$11)&lt;&gt;'AML.04.10'!$M$11,TRUE)),$G358&amp;": "&amp;$H358,"OK"))</f>
        <v>OK</v>
      </c>
      <c r="J358" s="57" t="str">
        <f>IF(LEN(IF(VLOOKUP("AMLA_VR_AML.04.10_C0120_01",$A:$I,9,0)&lt;&gt;"OK",CHAR(10)&amp;VLOOKUP("AMLA_VR_AML.04.10_C0120_01",$A:$I,9,0),"")&amp;IF(VLOOKUP("AMLA_VR_AML.04.10_C0120_02",$A:$I,9,0)&lt;&gt;"OK",CHAR(10)&amp;VLOOKUP("AMLA_VR_AML.04.10_C0120_02",$A:$I,9,0),""))=0,"OK",MID(IF(VLOOKUP("AMLA_VR_AML.04.10_C0120_01",$A:$I,9,0)&lt;&gt;"OK",CHAR(10)&amp;VLOOKUP("AMLA_VR_AML.04.10_C0120_01",$A:$I,9,0),"")&amp;IF(VLOOKUP("AMLA_VR_AML.04.10_C0120_02",$A:$I,9,0)&lt;&gt;"OK",CHAR(10)&amp;VLOOKUP("AMLA_VR_AML.04.10_C0120_02",$A:$I,9,0),""),2,3000))</f>
        <v>OK</v>
      </c>
      <c r="K358" s="161" t="s">
        <v>1775</v>
      </c>
    </row>
    <row r="359" spans="1:11">
      <c r="A359" s="159" t="str">
        <f>"AMLA_VR_" &amp; B359 &amp; "_" &amp; C359 &amp; "_" &amp; TEXT(COUNTIFS($B$2:B359, B359, $C$2:C359, C359), "00")</f>
        <v>AMLA_VR_AML.04.10_C0130_01</v>
      </c>
      <c r="B359" s="157" t="s">
        <v>265</v>
      </c>
      <c r="C359" s="157" t="s">
        <v>93</v>
      </c>
      <c r="D359" s="157" t="s">
        <v>1561</v>
      </c>
      <c r="E359" s="160" t="str" cm="1">
        <f t="array" aca="1" ref="E359" ca="1">IF(C359="", INDIRECT("'"&amp;B359&amp;"'!B3"), INDEX(INDIRECT("'"&amp;B359&amp;"'!5:5"), COLUMN(INDIRECT("'"&amp;B359&amp;"'!"&amp;D359))))</f>
        <v>Crypto-to-Crypto (from Self-hosted) - Number</v>
      </c>
      <c r="F359" s="157" t="s">
        <v>1772</v>
      </c>
      <c r="G359" s="157" t="s">
        <v>1773</v>
      </c>
      <c r="H359" s="157" t="s">
        <v>1831</v>
      </c>
      <c r="I359" s="157" t="str">
        <f>IF('AML.04.10'!$N$11&lt;0, $G359 &amp; ": " &amp; $H359, "OK")</f>
        <v>OK</v>
      </c>
      <c r="J359" s="171" t="str">
        <f>IF(LEN(IF(VLOOKUP("AMLA_VR_AML.04.10_C0130_01",$A:$I,9,0)&lt;&gt;"OK",CHAR(10)&amp;VLOOKUP("AMLA_VR_AML.04.10_C0130_01",$A:$I,9,0),"")&amp;IF(VLOOKUP("AMLA_VR_AML.04.10_C0130_02",$A:$I,9,0)&lt;&gt;"OK",CHAR(10)&amp;VLOOKUP("AMLA_VR_AML.04.10_C0130_02",$A:$I,9,0),""))=0,"OK",MID(IF(VLOOKUP("AMLA_VR_AML.04.10_C0130_01",$A:$I,9,0)&lt;&gt;"OK",CHAR(10)&amp;VLOOKUP("AMLA_VR_AML.04.10_C0130_01",$A:$I,9,0),"")&amp;IF(VLOOKUP("AMLA_VR_AML.04.10_C0130_02",$A:$I,9,0)&lt;&gt;"OK",CHAR(10)&amp;VLOOKUP("AMLA_VR_AML.04.10_C0130_02",$A:$I,9,0),""),2,3000))</f>
        <v>OK</v>
      </c>
      <c r="K359" s="158" t="s">
        <v>1775</v>
      </c>
    </row>
    <row r="360" spans="1:11">
      <c r="A360" s="159" t="str">
        <f>"AMLA_VR_" &amp; B360 &amp; "_" &amp; C360 &amp; "_" &amp; TEXT(COUNTIFS($B$2:B360, B360, $C$2:C360, C360), "00")</f>
        <v>AMLA_VR_AML.04.10_C0130_02</v>
      </c>
      <c r="B360" s="157" t="s">
        <v>265</v>
      </c>
      <c r="C360" s="157" t="s">
        <v>93</v>
      </c>
      <c r="D360" s="157" t="s">
        <v>1561</v>
      </c>
      <c r="E360" s="160" t="str" cm="1">
        <f t="array" aca="1" ref="E360" ca="1">IF(C360="", INDIRECT("'"&amp;B360&amp;"'!B3"), INDEX(INDIRECT("'"&amp;B360&amp;"'!5:5"), COLUMN(INDIRECT("'"&amp;B360&amp;"'!"&amp;D360))))</f>
        <v>Crypto-to-Crypto (from Self-hosted) - Number</v>
      </c>
      <c r="F360" s="157" t="s">
        <v>1776</v>
      </c>
      <c r="G360" s="157" t="s">
        <v>1773</v>
      </c>
      <c r="H360" s="157" t="s">
        <v>1816</v>
      </c>
      <c r="I360" s="157" t="str">
        <f>IF(TRIM(SUBSTITUTE('AML.04.10'!$N$11&amp;"",CHAR(160),""))="","OK",IF(OR(NOT(ISNUMBER('AML.04.10'!$N$11)),IFERROR(INT('AML.04.10'!$N$11)&lt;&gt;'AML.04.10'!$N$11,TRUE)),$G360&amp;": "&amp;$H360,"OK"))</f>
        <v>OK</v>
      </c>
      <c r="J360" s="171" t="str">
        <f>IF(LEN(IF(VLOOKUP("AMLA_VR_AML.04.10_C0130_01",$A:$I,9,0)&lt;&gt;"OK",CHAR(10)&amp;VLOOKUP("AMLA_VR_AML.04.10_C0130_01",$A:$I,9,0),"")&amp;IF(VLOOKUP("AMLA_VR_AML.04.10_C0130_02",$A:$I,9,0)&lt;&gt;"OK",CHAR(10)&amp;VLOOKUP("AMLA_VR_AML.04.10_C0130_02",$A:$I,9,0),""))=0,"OK",MID(IF(VLOOKUP("AMLA_VR_AML.04.10_C0130_01",$A:$I,9,0)&lt;&gt;"OK",CHAR(10)&amp;VLOOKUP("AMLA_VR_AML.04.10_C0130_01",$A:$I,9,0),"")&amp;IF(VLOOKUP("AMLA_VR_AML.04.10_C0130_02",$A:$I,9,0)&lt;&gt;"OK",CHAR(10)&amp;VLOOKUP("AMLA_VR_AML.04.10_C0130_02",$A:$I,9,0),""),2,3000))</f>
        <v>OK</v>
      </c>
      <c r="K360" s="158" t="s">
        <v>1775</v>
      </c>
    </row>
    <row r="361" spans="1:11">
      <c r="A361" s="159" t="str">
        <f>"AMLA_VR_" &amp; B361 &amp; "_" &amp; C361 &amp; "_" &amp; TEXT(COUNTIFS($B$2:B361, B361, $C$2:C361, C361), "00")</f>
        <v>AMLA_VR_AML.04.10_C0140_01</v>
      </c>
      <c r="B361" s="160" t="s">
        <v>265</v>
      </c>
      <c r="C361" s="160" t="s">
        <v>94</v>
      </c>
      <c r="D361" s="160" t="s">
        <v>1562</v>
      </c>
      <c r="E361" s="160" t="str" cm="1">
        <f t="array" aca="1" ref="E361" ca="1">IF(C361="", INDIRECT("'"&amp;B361&amp;"'!B3"), INDEX(INDIRECT("'"&amp;B361&amp;"'!5:5"), COLUMN(INDIRECT("'"&amp;B361&amp;"'!"&amp;D361))))</f>
        <v>Transfers - Value</v>
      </c>
      <c r="F361" s="160" t="s">
        <v>1772</v>
      </c>
      <c r="G361" s="160" t="s">
        <v>1773</v>
      </c>
      <c r="H361" s="160" t="s">
        <v>1833</v>
      </c>
      <c r="I361" s="160" t="str">
        <f>IF('AML.04.10'!$O$11&lt;0, $G361 &amp; ": " &amp; $H361, "OK")</f>
        <v>OK</v>
      </c>
      <c r="J361" s="57" t="str">
        <f>IF(LEN(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0,"OK",MID(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2,3000))</f>
        <v>OK</v>
      </c>
      <c r="K361" s="161" t="s">
        <v>1775</v>
      </c>
    </row>
    <row r="362" spans="1:11">
      <c r="A362" s="159" t="str">
        <f>"AMLA_VR_" &amp; B362 &amp; "_" &amp; C362 &amp; "_" &amp; TEXT(COUNTIFS($B$2:B362, B362, $C$2:C362, C362), "00")</f>
        <v>AMLA_VR_AML.04.10_C0140_02</v>
      </c>
      <c r="B362" s="160" t="s">
        <v>265</v>
      </c>
      <c r="C362" s="160" t="s">
        <v>94</v>
      </c>
      <c r="D362" s="160" t="s">
        <v>1562</v>
      </c>
      <c r="E362" s="160" t="str" cm="1">
        <f t="array" aca="1" ref="E362" ca="1">IF(C362="", INDIRECT("'"&amp;B362&amp;"'!B3"), INDEX(INDIRECT("'"&amp;B362&amp;"'!5:5"), COLUMN(INDIRECT("'"&amp;B362&amp;"'!"&amp;D362))))</f>
        <v>Transfers - Value</v>
      </c>
      <c r="F362" s="160" t="s">
        <v>1776</v>
      </c>
      <c r="G362" s="160" t="s">
        <v>1773</v>
      </c>
      <c r="H362" s="160" t="s">
        <v>1837</v>
      </c>
      <c r="I362" s="160" t="str">
        <f>IF(TRIM(SUBSTITUTE('AML.04.10'!$O$11&amp;"",CHAR(160),""))="","OK",IF(NOT(ISNUMBER('AML.04.10'!$O$11)),$G362&amp;": "&amp;$H362,"OK"))</f>
        <v>OK</v>
      </c>
      <c r="J362" s="57" t="str">
        <f>IF(LEN(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0,"OK",MID(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2,3000))</f>
        <v>OK</v>
      </c>
      <c r="K362" s="161" t="s">
        <v>1775</v>
      </c>
    </row>
    <row r="363" spans="1:11">
      <c r="A363" s="159" t="str">
        <f>"AMLA_VR_" &amp; B363 &amp; "_" &amp; C363 &amp; "_" &amp; TEXT(COUNTIFS($B$2:B363, B363, $C$2:C363, C363), "00")</f>
        <v>AMLA_VR_AML.04.10_C0140_03</v>
      </c>
      <c r="B363" s="157" t="s">
        <v>265</v>
      </c>
      <c r="C363" s="157" t="s">
        <v>94</v>
      </c>
      <c r="D363" s="157" t="s">
        <v>1562</v>
      </c>
      <c r="E363" s="160" t="str" cm="1">
        <f t="array" aca="1" ref="E363" ca="1">IF(C363="", INDIRECT("'"&amp;B363&amp;"'!B3"), INDEX(INDIRECT("'"&amp;B363&amp;"'!5:5"), COLUMN(INDIRECT("'"&amp;B363&amp;"'!"&amp;D363))))</f>
        <v>Transfers - Value</v>
      </c>
      <c r="F363" s="157" t="s">
        <v>1772</v>
      </c>
      <c r="G363" s="157" t="s">
        <v>1813</v>
      </c>
      <c r="H363" s="157" t="s">
        <v>1884</v>
      </c>
      <c r="I363" s="157" t="str">
        <f>IF(AND('AML.04.10'!$O$11=0, 'AML.04.10'!$P$11&gt;0), $G363 &amp; ": " &amp; $H363, "OK")</f>
        <v>OK</v>
      </c>
      <c r="J363" s="171" t="str">
        <f>IF(LEN(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0,"OK",MID(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2,3000))</f>
        <v>OK</v>
      </c>
      <c r="K363" s="158" t="s">
        <v>1775</v>
      </c>
    </row>
    <row r="364" spans="1:11">
      <c r="A364" s="159" t="str">
        <f>"AMLA_VR_" &amp; B364 &amp; "_" &amp; C364 &amp; "_" &amp; TEXT(COUNTIFS($B$2:B364, B364, $C$2:C364, C364), "00")</f>
        <v>AMLA_VR_AML.04.10_C0140_04</v>
      </c>
      <c r="B364" s="160" t="s">
        <v>265</v>
      </c>
      <c r="C364" s="160" t="s">
        <v>94</v>
      </c>
      <c r="D364" s="160" t="s">
        <v>1562</v>
      </c>
      <c r="E364" s="160" t="str" cm="1">
        <f t="array" aca="1" ref="E364" ca="1">IF(C364="", INDIRECT("'"&amp;B364&amp;"'!B3"), INDEX(INDIRECT("'"&amp;B364&amp;"'!5:5"), COLUMN(INDIRECT("'"&amp;B364&amp;"'!"&amp;D364))))</f>
        <v>Transfers - Value</v>
      </c>
      <c r="F364" s="160" t="s">
        <v>1772</v>
      </c>
      <c r="G364" s="160" t="s">
        <v>1813</v>
      </c>
      <c r="H364" s="160" t="s">
        <v>1885</v>
      </c>
      <c r="I364" s="160" t="str">
        <f>IF(AND('AML.04.10'!$O$11=0, 'AML.04.10'!$Q$11&gt;0), $G364 &amp; ": " &amp; $H364, "OK")</f>
        <v>OK</v>
      </c>
      <c r="J364" s="57" t="str">
        <f>IF(LEN(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0,"OK",MID(IF(VLOOKUP("AMLA_VR_AML.04.10_C0140_01",$A:$I,9,0)&lt;&gt;"OK",CHAR(10)&amp;VLOOKUP("AMLA_VR_AML.04.10_C0140_01",$A:$I,9,0),"")&amp;IF(VLOOKUP("AMLA_VR_AML.04.10_C0140_02",$A:$I,9,0)&lt;&gt;"OK",CHAR(10)&amp;VLOOKUP("AMLA_VR_AML.04.10_C0140_02",$A:$I,9,0),"")&amp;IF(VLOOKUP("AMLA_VR_AML.04.10_C0140_03",$A:$I,9,0)&lt;&gt;"OK",CHAR(10)&amp;VLOOKUP("AMLA_VR_AML.04.10_C0140_03",$A:$I,9,0),"")&amp;IF(VLOOKUP("AMLA_VR_AML.04.10_C0140_04",$A:$I,9,0)&lt;&gt;"OK",CHAR(10)&amp;VLOOKUP("AMLA_VR_AML.04.10_C0140_04",$A:$I,9,0),""),2,3000))</f>
        <v>OK</v>
      </c>
      <c r="K364" s="161" t="s">
        <v>1775</v>
      </c>
    </row>
    <row r="365" spans="1:11">
      <c r="A365" s="159" t="str">
        <f>"AMLA_VR_" &amp; B365 &amp; "_" &amp; C365 &amp; "_" &amp; TEXT(COUNTIFS($B$2:B365, B365, $C$2:C365, C365), "00")</f>
        <v>AMLA_VR_AML.04.10_C0150_01</v>
      </c>
      <c r="B365" s="157" t="s">
        <v>265</v>
      </c>
      <c r="C365" s="157" t="s">
        <v>95</v>
      </c>
      <c r="D365" s="157" t="s">
        <v>1563</v>
      </c>
      <c r="E365" s="160" t="str" cm="1">
        <f t="array" aca="1" ref="E365" ca="1">IF(C365="", INDIRECT("'"&amp;B365&amp;"'!B3"), INDEX(INDIRECT("'"&amp;B365&amp;"'!5:5"), COLUMN(INDIRECT("'"&amp;B365&amp;"'!"&amp;D365))))</f>
        <v>Transfers - Customers</v>
      </c>
      <c r="F365" s="157" t="s">
        <v>1772</v>
      </c>
      <c r="G365" s="157" t="s">
        <v>1773</v>
      </c>
      <c r="H365" s="157" t="s">
        <v>1834</v>
      </c>
      <c r="I365" s="157" t="str">
        <f>IF('AML.04.10'!$P$11&lt;0, $G365 &amp; ": " &amp; $H365, "OK")</f>
        <v>OK</v>
      </c>
      <c r="J365" s="171" t="str">
        <f>IF(LEN(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0,"OK",MID(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2,3000))</f>
        <v>OK</v>
      </c>
      <c r="K365" s="158" t="s">
        <v>1775</v>
      </c>
    </row>
    <row r="366" spans="1:11">
      <c r="A366" s="159" t="str">
        <f>"AMLA_VR_" &amp; B366 &amp; "_" &amp; C366 &amp; "_" &amp; TEXT(COUNTIFS($B$2:B366, B366, $C$2:C366, C366), "00")</f>
        <v>AMLA_VR_AML.04.10_C0150_02</v>
      </c>
      <c r="B366" s="160" t="s">
        <v>265</v>
      </c>
      <c r="C366" s="160" t="s">
        <v>95</v>
      </c>
      <c r="D366" s="160" t="s">
        <v>1563</v>
      </c>
      <c r="E366" s="160" t="str" cm="1">
        <f t="array" aca="1" ref="E366" ca="1">IF(C366="", INDIRECT("'"&amp;B366&amp;"'!B3"), INDEX(INDIRECT("'"&amp;B366&amp;"'!5:5"), COLUMN(INDIRECT("'"&amp;B366&amp;"'!"&amp;D366))))</f>
        <v>Transfers - Customers</v>
      </c>
      <c r="F366" s="160" t="s">
        <v>1772</v>
      </c>
      <c r="G366" s="160" t="s">
        <v>1773</v>
      </c>
      <c r="H366" s="160" t="s">
        <v>1886</v>
      </c>
      <c r="I366" s="160" t="str">
        <f>IF('AML.04.10'!$P$11 &gt; 'AML.02.01'!$B$11, $G366 &amp; ": " &amp; $H366, "OK")</f>
        <v>OK</v>
      </c>
      <c r="J366" s="57" t="str">
        <f>IF(LEN(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0,"OK",MID(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2,3000))</f>
        <v>OK</v>
      </c>
      <c r="K366" s="161" t="s">
        <v>1775</v>
      </c>
    </row>
    <row r="367" spans="1:11">
      <c r="A367" s="159" t="str">
        <f>"AMLA_VR_" &amp; B367 &amp; "_" &amp; C367 &amp; "_" &amp; TEXT(COUNTIFS($B$2:B367, B367, $C$2:C367, C367), "00")</f>
        <v>AMLA_VR_AML.04.10_C0150_03</v>
      </c>
      <c r="B367" s="157" t="s">
        <v>265</v>
      </c>
      <c r="C367" s="157" t="s">
        <v>95</v>
      </c>
      <c r="D367" s="157" t="s">
        <v>1563</v>
      </c>
      <c r="E367" s="160" t="str" cm="1">
        <f t="array" aca="1" ref="E367" ca="1">IF(C367="", INDIRECT("'"&amp;B367&amp;"'!B3"), INDEX(INDIRECT("'"&amp;B367&amp;"'!5:5"), COLUMN(INDIRECT("'"&amp;B367&amp;"'!"&amp;D367))))</f>
        <v>Transfers - Customers</v>
      </c>
      <c r="F367" s="157" t="s">
        <v>1776</v>
      </c>
      <c r="G367" s="157" t="s">
        <v>1773</v>
      </c>
      <c r="H367" s="157" t="s">
        <v>1816</v>
      </c>
      <c r="I367" s="157" t="str">
        <f>IF(TRIM(SUBSTITUTE('AML.04.10'!$P$11&amp;"",CHAR(160),""))="","OK",IF(OR(NOT(ISNUMBER('AML.04.10'!$P$11)),IFERROR(INT('AML.04.10'!$P$11)&lt;&gt;'AML.04.10'!$P$11,TRUE)),$G367&amp;": "&amp;$H367,"OK"))</f>
        <v>OK</v>
      </c>
      <c r="J367" s="171" t="str">
        <f>IF(LEN(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0,"OK",MID(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2,3000))</f>
        <v>OK</v>
      </c>
      <c r="K367" s="158" t="s">
        <v>1775</v>
      </c>
    </row>
    <row r="368" spans="1:11">
      <c r="A368" s="159" t="str">
        <f>"AMLA_VR_" &amp; B368 &amp; "_" &amp; C368 &amp; "_" &amp; TEXT(COUNTIFS($B$2:B368, B368, $C$2:C368, C368), "00")</f>
        <v>AMLA_VR_AML.04.10_C0150_04</v>
      </c>
      <c r="B368" s="160" t="s">
        <v>265</v>
      </c>
      <c r="C368" s="160" t="s">
        <v>95</v>
      </c>
      <c r="D368" s="160" t="s">
        <v>1563</v>
      </c>
      <c r="E368" s="160" t="str" cm="1">
        <f t="array" aca="1" ref="E368" ca="1">IF(C368="", INDIRECT("'"&amp;B368&amp;"'!B3"), INDEX(INDIRECT("'"&amp;B368&amp;"'!5:5"), COLUMN(INDIRECT("'"&amp;B368&amp;"'!"&amp;D368))))</f>
        <v>Transfers - Customers</v>
      </c>
      <c r="F368" s="160" t="s">
        <v>1772</v>
      </c>
      <c r="G368" s="160" t="s">
        <v>1813</v>
      </c>
      <c r="H368" s="160" t="s">
        <v>1887</v>
      </c>
      <c r="I368" s="160" t="str">
        <f>IF(AND('AML.04.10'!$P$11=0, 'AML.04.10'!$O$11&gt;0), $G368 &amp; ": " &amp; $H368, "OK")</f>
        <v>OK</v>
      </c>
      <c r="J368" s="57" t="str">
        <f>IF(LEN(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0,"OK",MID(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2,3000))</f>
        <v>OK</v>
      </c>
      <c r="K368" s="161" t="s">
        <v>1775</v>
      </c>
    </row>
    <row r="369" spans="1:11">
      <c r="A369" s="159" t="str">
        <f>"AMLA_VR_" &amp; B369 &amp; "_" &amp; C369 &amp; "_" &amp; TEXT(COUNTIFS($B$2:B369, B369, $C$2:C369, C369), "00")</f>
        <v>AMLA_VR_AML.04.10_C0150_05</v>
      </c>
      <c r="B369" s="157" t="s">
        <v>265</v>
      </c>
      <c r="C369" s="157" t="s">
        <v>95</v>
      </c>
      <c r="D369" s="157" t="s">
        <v>1563</v>
      </c>
      <c r="E369" s="160" t="str" cm="1">
        <f t="array" aca="1" ref="E369" ca="1">IF(C369="", INDIRECT("'"&amp;B369&amp;"'!B3"), INDEX(INDIRECT("'"&amp;B369&amp;"'!5:5"), COLUMN(INDIRECT("'"&amp;B369&amp;"'!"&amp;D369))))</f>
        <v>Transfers - Customers</v>
      </c>
      <c r="F369" s="157" t="s">
        <v>1772</v>
      </c>
      <c r="G369" s="157" t="s">
        <v>1813</v>
      </c>
      <c r="H369" s="157" t="s">
        <v>1888</v>
      </c>
      <c r="I369" s="157" t="str">
        <f>IF(AND('AML.04.10'!$P$11=0, 'AML.04.10'!$Q$11&gt;0), $G369 &amp; ": " &amp; $H369, "OK")</f>
        <v>OK</v>
      </c>
      <c r="J369" s="171" t="str">
        <f>IF(LEN(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0,"OK",MID(IF(VLOOKUP("AMLA_VR_AML.04.10_C0150_01",$A:$I,9,0)&lt;&gt;"OK",CHAR(10)&amp;VLOOKUP("AMLA_VR_AML.04.10_C0150_01",$A:$I,9,0),"")&amp;IF(VLOOKUP("AMLA_VR_AML.04.10_C0150_02",$A:$I,9,0)&lt;&gt;"OK",CHAR(10)&amp;VLOOKUP("AMLA_VR_AML.04.10_C0150_02",$A:$I,9,0),"")&amp;IF(VLOOKUP("AMLA_VR_AML.04.10_C0150_03",$A:$I,9,0)&lt;&gt;"OK",CHAR(10)&amp;VLOOKUP("AMLA_VR_AML.04.10_C0150_03",$A:$I,9,0),"")&amp;IF(VLOOKUP("AMLA_VR_AML.04.10_C0150_04",$A:$I,9,0)&lt;&gt;"OK",CHAR(10)&amp;VLOOKUP("AMLA_VR_AML.04.10_C0150_04",$A:$I,9,0),"")&amp;IF(VLOOKUP("AMLA_VR_AML.04.10_C0150_05",$A:$I,9,0)&lt;&gt;"OK",CHAR(10)&amp;VLOOKUP("AMLA_VR_AML.04.10_C0150_05",$A:$I,9,0),""),2,3000))</f>
        <v>OK</v>
      </c>
      <c r="K369" s="158" t="s">
        <v>1775</v>
      </c>
    </row>
    <row r="370" spans="1:11">
      <c r="A370" s="159" t="str">
        <f>"AMLA_VR_" &amp; B370 &amp; "_" &amp; C370 &amp; "_" &amp; TEXT(COUNTIFS($B$2:B370, B370, $C$2:C370, C370), "00")</f>
        <v>AMLA_VR_AML.04.10_C0160_01</v>
      </c>
      <c r="B370" s="157" t="s">
        <v>265</v>
      </c>
      <c r="C370" s="157" t="s">
        <v>96</v>
      </c>
      <c r="D370" s="157" t="s">
        <v>1564</v>
      </c>
      <c r="E370" s="160" t="str" cm="1">
        <f t="array" aca="1" ref="E370" ca="1">IF(C370="", INDIRECT("'"&amp;B370&amp;"'!B3"), INDEX(INDIRECT("'"&amp;B370&amp;"'!5:5"), COLUMN(INDIRECT("'"&amp;B370&amp;"'!"&amp;D370))))</f>
        <v>Transfers - Number</v>
      </c>
      <c r="F370" s="157" t="s">
        <v>1772</v>
      </c>
      <c r="G370" s="157" t="s">
        <v>1773</v>
      </c>
      <c r="H370" s="157" t="s">
        <v>1835</v>
      </c>
      <c r="I370" s="157" t="str">
        <f>IF('AML.04.10'!$Q$11&lt;0, $G370 &amp; ": " &amp; $H370, "OK")</f>
        <v>OK</v>
      </c>
      <c r="J370" s="171" t="str">
        <f>IF(LEN(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0,"OK",MID(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2,3000))</f>
        <v>OK</v>
      </c>
      <c r="K370" s="158" t="s">
        <v>1775</v>
      </c>
    </row>
    <row r="371" spans="1:11">
      <c r="A371" s="159" t="str">
        <f>"AMLA_VR_" &amp; B371 &amp; "_" &amp; C371 &amp; "_" &amp; TEXT(COUNTIFS($B$2:B371, B371, $C$2:C371, C371), "00")</f>
        <v>AMLA_VR_AML.04.10_C0160_02</v>
      </c>
      <c r="B371" s="160" t="s">
        <v>265</v>
      </c>
      <c r="C371" s="160" t="s">
        <v>96</v>
      </c>
      <c r="D371" s="160" t="s">
        <v>1564</v>
      </c>
      <c r="E371" s="160" t="str" cm="1">
        <f t="array" aca="1" ref="E371" ca="1">IF(C371="", INDIRECT("'"&amp;B371&amp;"'!B3"), INDEX(INDIRECT("'"&amp;B371&amp;"'!5:5"), COLUMN(INDIRECT("'"&amp;B371&amp;"'!"&amp;D371))))</f>
        <v>Transfers - Number</v>
      </c>
      <c r="F371" s="160" t="s">
        <v>1776</v>
      </c>
      <c r="G371" s="160" t="s">
        <v>1773</v>
      </c>
      <c r="H371" s="160" t="s">
        <v>1816</v>
      </c>
      <c r="I371" s="160" t="str">
        <f>IF(TRIM(SUBSTITUTE('AML.04.10'!$Q$11&amp;"",CHAR(160),""))="","OK",IF(OR(NOT(ISNUMBER('AML.04.10'!$Q$11)),IFERROR(INT('AML.04.10'!$Q$11)&lt;&gt;'AML.04.10'!$Q$11,TRUE)),$G371&amp;": "&amp;$H371,"OK"))</f>
        <v>OK</v>
      </c>
      <c r="J371" s="57" t="str">
        <f>IF(LEN(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0,"OK",MID(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2,3000))</f>
        <v>OK</v>
      </c>
      <c r="K371" s="161" t="s">
        <v>1775</v>
      </c>
    </row>
    <row r="372" spans="1:11">
      <c r="A372" s="159" t="str">
        <f>"AMLA_VR_" &amp; B372 &amp; "_" &amp; C372 &amp; "_" &amp; TEXT(COUNTIFS($B$2:B372, B372, $C$2:C372, C372), "00")</f>
        <v>AMLA_VR_AML.04.10_C0160_03</v>
      </c>
      <c r="B372" s="160" t="s">
        <v>265</v>
      </c>
      <c r="C372" s="160" t="s">
        <v>96</v>
      </c>
      <c r="D372" s="160" t="s">
        <v>1564</v>
      </c>
      <c r="E372" s="160" t="str" cm="1">
        <f t="array" aca="1" ref="E372" ca="1">IF(C372="", INDIRECT("'"&amp;B372&amp;"'!B3"), INDEX(INDIRECT("'"&amp;B372&amp;"'!5:5"), COLUMN(INDIRECT("'"&amp;B372&amp;"'!"&amp;D372))))</f>
        <v>Transfers - Number</v>
      </c>
      <c r="F372" s="160" t="s">
        <v>1772</v>
      </c>
      <c r="G372" s="160" t="s">
        <v>1813</v>
      </c>
      <c r="H372" s="160" t="s">
        <v>1889</v>
      </c>
      <c r="I372" s="160" t="str">
        <f>IF(AND('AML.04.10'!$Q$11=0, 'AML.04.10'!$O$11&gt;0), $G372 &amp; ": " &amp; $H372, "OK")</f>
        <v>OK</v>
      </c>
      <c r="J372" s="57" t="str">
        <f>IF(LEN(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0,"OK",MID(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2,3000))</f>
        <v>OK</v>
      </c>
      <c r="K372" s="161" t="s">
        <v>1775</v>
      </c>
    </row>
    <row r="373" spans="1:11">
      <c r="A373" s="159" t="str">
        <f>"AMLA_VR_" &amp; B373 &amp; "_" &amp; C373 &amp; "_" &amp; TEXT(COUNTIFS($B$2:B373, B373, $C$2:C373, C373), "00")</f>
        <v>AMLA_VR_AML.04.10_C0160_04</v>
      </c>
      <c r="B373" s="157" t="s">
        <v>265</v>
      </c>
      <c r="C373" s="157" t="s">
        <v>96</v>
      </c>
      <c r="D373" s="157" t="s">
        <v>1564</v>
      </c>
      <c r="E373" s="160" t="str" cm="1">
        <f t="array" aca="1" ref="E373" ca="1">IF(C373="", INDIRECT("'"&amp;B373&amp;"'!B3"), INDEX(INDIRECT("'"&amp;B373&amp;"'!5:5"), COLUMN(INDIRECT("'"&amp;B373&amp;"'!"&amp;D373))))</f>
        <v>Transfers - Number</v>
      </c>
      <c r="F373" s="157" t="s">
        <v>1772</v>
      </c>
      <c r="G373" s="157" t="s">
        <v>1813</v>
      </c>
      <c r="H373" s="157" t="s">
        <v>1890</v>
      </c>
      <c r="I373" s="157" t="str">
        <f>IF(AND('AML.04.10'!$Q$11=0, 'AML.04.10'!$P$11&gt;0), $G373 &amp; ": " &amp; $H373, "OK")</f>
        <v>OK</v>
      </c>
      <c r="J373" s="171" t="str">
        <f>IF(LEN(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0,"OK",MID(IF(VLOOKUP("AMLA_VR_AML.04.10_C0160_01",$A:$I,9,0)&lt;&gt;"OK",CHAR(10)&amp;VLOOKUP("AMLA_VR_AML.04.10_C0160_01",$A:$I,9,0),"")&amp;IF(VLOOKUP("AMLA_VR_AML.04.10_C0160_02",$A:$I,9,0)&lt;&gt;"OK",CHAR(10)&amp;VLOOKUP("AMLA_VR_AML.04.10_C0160_02",$A:$I,9,0),"")&amp;IF(VLOOKUP("AMLA_VR_AML.04.10_C0160_03",$A:$I,9,0)&lt;&gt;"OK",CHAR(10)&amp;VLOOKUP("AMLA_VR_AML.04.10_C0160_03",$A:$I,9,0),"")&amp;IF(VLOOKUP("AMLA_VR_AML.04.10_C0160_04",$A:$I,9,0)&lt;&gt;"OK",CHAR(10)&amp;VLOOKUP("AMLA_VR_AML.04.10_C0160_04",$A:$I,9,0),""),2,3000))</f>
        <v>OK</v>
      </c>
      <c r="K373" s="158" t="s">
        <v>1775</v>
      </c>
    </row>
    <row r="374" spans="1:11">
      <c r="A374" s="159" t="str">
        <f>"AMLA_VR_" &amp; B374 &amp; "_" &amp; C374 &amp; "_" &amp; TEXT(COUNTIFS($B$2:B374, B374, $C$2:C374, C374), "00")</f>
        <v>AMLA_VR_AML.04.10_C0170_01</v>
      </c>
      <c r="B374" s="160" t="s">
        <v>265</v>
      </c>
      <c r="C374" s="160" t="s">
        <v>97</v>
      </c>
      <c r="D374" s="160" t="s">
        <v>1565</v>
      </c>
      <c r="E374" s="160" t="str" cm="1">
        <f t="array" aca="1" ref="E374" ca="1">IF(C374="", INDIRECT("'"&amp;B374&amp;"'!B3"), INDEX(INDIRECT("'"&amp;B374&amp;"'!5:5"), COLUMN(INDIRECT("'"&amp;B374&amp;"'!"&amp;D374))))</f>
        <v>Transfers (to Self-hosted) – Number</v>
      </c>
      <c r="F374" s="160" t="s">
        <v>1772</v>
      </c>
      <c r="G374" s="160" t="s">
        <v>1773</v>
      </c>
      <c r="H374" s="160" t="s">
        <v>1836</v>
      </c>
      <c r="I374" s="160" t="str">
        <f>IF('AML.04.10'!$R$11&lt;0, $G374 &amp; ": " &amp; $H374, "OK")</f>
        <v>OK</v>
      </c>
      <c r="J374" s="57" t="str">
        <f>IF(LEN(IF(VLOOKUP("AMLA_VR_AML.04.10_C0170_01",$A:$I,9,0)&lt;&gt;"OK",CHAR(10)&amp;VLOOKUP("AMLA_VR_AML.04.10_C0170_01",$A:$I,9,0),"")&amp;IF(VLOOKUP("AMLA_VR_AML.04.10_C0170_02",$A:$I,9,0)&lt;&gt;"OK",CHAR(10)&amp;VLOOKUP("AMLA_VR_AML.04.10_C0170_02",$A:$I,9,0),""))=0,"OK",MID(IF(VLOOKUP("AMLA_VR_AML.04.10_C0170_01",$A:$I,9,0)&lt;&gt;"OK",CHAR(10)&amp;VLOOKUP("AMLA_VR_AML.04.10_C0170_01",$A:$I,9,0),"")&amp;IF(VLOOKUP("AMLA_VR_AML.04.10_C0170_02",$A:$I,9,0)&lt;&gt;"OK",CHAR(10)&amp;VLOOKUP("AMLA_VR_AML.04.10_C0170_02",$A:$I,9,0),""),2,3000))</f>
        <v>OK</v>
      </c>
      <c r="K374" s="161" t="s">
        <v>1775</v>
      </c>
    </row>
    <row r="375" spans="1:11">
      <c r="A375" s="159" t="str">
        <f>"AMLA_VR_" &amp; B375 &amp; "_" &amp; C375 &amp; "_" &amp; TEXT(COUNTIFS($B$2:B375, B375, $C$2:C375, C375), "00")</f>
        <v>AMLA_VR_AML.04.10_C0170_02</v>
      </c>
      <c r="B375" s="157" t="s">
        <v>265</v>
      </c>
      <c r="C375" s="157" t="s">
        <v>97</v>
      </c>
      <c r="D375" s="157" t="s">
        <v>1565</v>
      </c>
      <c r="E375" s="160" t="str" cm="1">
        <f t="array" aca="1" ref="E375" ca="1">IF(C375="", INDIRECT("'"&amp;B375&amp;"'!B3"), INDEX(INDIRECT("'"&amp;B375&amp;"'!5:5"), COLUMN(INDIRECT("'"&amp;B375&amp;"'!"&amp;D375))))</f>
        <v>Transfers (to Self-hosted) – Number</v>
      </c>
      <c r="F375" s="157" t="s">
        <v>1776</v>
      </c>
      <c r="G375" s="157" t="s">
        <v>1773</v>
      </c>
      <c r="H375" s="157" t="s">
        <v>1816</v>
      </c>
      <c r="I375" s="157" t="str">
        <f>IF(TRIM(SUBSTITUTE('AML.04.10'!$R$11&amp;"",CHAR(160),""))="","OK",IF(OR(NOT(ISNUMBER('AML.04.10'!$R$11)),IFERROR(INT('AML.04.10'!$R$11)&lt;&gt;'AML.04.10'!$R$11,TRUE)),$G375&amp;": "&amp;$H375,"OK"))</f>
        <v>OK</v>
      </c>
      <c r="J375" s="171" t="str">
        <f>IF(LEN(IF(VLOOKUP("AMLA_VR_AML.04.10_C0170_01",$A:$I,9,0)&lt;&gt;"OK",CHAR(10)&amp;VLOOKUP("AMLA_VR_AML.04.10_C0170_01",$A:$I,9,0),"")&amp;IF(VLOOKUP("AMLA_VR_AML.04.10_C0170_02",$A:$I,9,0)&lt;&gt;"OK",CHAR(10)&amp;VLOOKUP("AMLA_VR_AML.04.10_C0170_02",$A:$I,9,0),""))=0,"OK",MID(IF(VLOOKUP("AMLA_VR_AML.04.10_C0170_01",$A:$I,9,0)&lt;&gt;"OK",CHAR(10)&amp;VLOOKUP("AMLA_VR_AML.04.10_C0170_01",$A:$I,9,0),"")&amp;IF(VLOOKUP("AMLA_VR_AML.04.10_C0170_02",$A:$I,9,0)&lt;&gt;"OK",CHAR(10)&amp;VLOOKUP("AMLA_VR_AML.04.10_C0170_02",$A:$I,9,0),""),2,3000))</f>
        <v>OK</v>
      </c>
      <c r="K375" s="158" t="s">
        <v>1775</v>
      </c>
    </row>
    <row r="376" spans="1:11">
      <c r="A376" s="159" t="str">
        <f>"AMLA_VR_" &amp; B376 &amp; "_" &amp; C376 &amp; "_" &amp; TEXT(COUNTIFS($B$2:B376, B376, $C$2:C376, C376), "00")</f>
        <v>AMLA_VR_AML.04.10_C0180_01</v>
      </c>
      <c r="B376" s="157" t="s">
        <v>265</v>
      </c>
      <c r="C376" s="157" t="s">
        <v>98</v>
      </c>
      <c r="D376" s="157" t="s">
        <v>1566</v>
      </c>
      <c r="E376" s="160" t="str" cm="1">
        <f t="array" aca="1" ref="E376" ca="1">IF(C376="", INDIRECT("'"&amp;B376&amp;"'!B3"), INDEX(INDIRECT("'"&amp;B376&amp;"'!5:5"), COLUMN(INDIRECT("'"&amp;B376&amp;"'!"&amp;D376))))</f>
        <v>Transfers (from Self-hosted) - Number</v>
      </c>
      <c r="F376" s="157" t="s">
        <v>1772</v>
      </c>
      <c r="G376" s="157" t="s">
        <v>1773</v>
      </c>
      <c r="H376" s="157" t="s">
        <v>1891</v>
      </c>
      <c r="I376" s="157" t="str">
        <f>IF('AML.04.10'!$S$11&lt;0, $G376 &amp; ": " &amp; $H376, "OK")</f>
        <v>OK</v>
      </c>
      <c r="J376" s="171" t="str">
        <f>IF(LEN(IF(VLOOKUP("AMLA_VR_AML.04.10_C0180_01",$A:$I,9,0)&lt;&gt;"OK",CHAR(10)&amp;VLOOKUP("AMLA_VR_AML.04.10_C0180_01",$A:$I,9,0),"")&amp;IF(VLOOKUP("AMLA_VR_AML.04.10_C0180_02",$A:$I,9,0)&lt;&gt;"OK",CHAR(10)&amp;VLOOKUP("AMLA_VR_AML.04.10_C0180_02",$A:$I,9,0),""))=0,"OK",MID(IF(VLOOKUP("AMLA_VR_AML.04.10_C0180_01",$A:$I,9,0)&lt;&gt;"OK",CHAR(10)&amp;VLOOKUP("AMLA_VR_AML.04.10_C0180_01",$A:$I,9,0),"")&amp;IF(VLOOKUP("AMLA_VR_AML.04.10_C0180_02",$A:$I,9,0)&lt;&gt;"OK",CHAR(10)&amp;VLOOKUP("AMLA_VR_AML.04.10_C0180_02",$A:$I,9,0),""),2,3000))</f>
        <v>OK</v>
      </c>
      <c r="K376" s="158" t="s">
        <v>1775</v>
      </c>
    </row>
    <row r="377" spans="1:11">
      <c r="A377" s="159" t="str">
        <f>"AMLA_VR_" &amp; B377 &amp; "_" &amp; C377 &amp; "_" &amp; TEXT(COUNTIFS($B$2:B377, B377, $C$2:C377, C377), "00")</f>
        <v>AMLA_VR_AML.04.10_C0180_02</v>
      </c>
      <c r="B377" s="160" t="s">
        <v>265</v>
      </c>
      <c r="C377" s="160" t="s">
        <v>98</v>
      </c>
      <c r="D377" s="160" t="s">
        <v>1566</v>
      </c>
      <c r="E377" s="160" t="str" cm="1">
        <f t="array" aca="1" ref="E377" ca="1">IF(C377="", INDIRECT("'"&amp;B377&amp;"'!B3"), INDEX(INDIRECT("'"&amp;B377&amp;"'!5:5"), COLUMN(INDIRECT("'"&amp;B377&amp;"'!"&amp;D377))))</f>
        <v>Transfers (from Self-hosted) - Number</v>
      </c>
      <c r="F377" s="160" t="s">
        <v>1776</v>
      </c>
      <c r="G377" s="160" t="s">
        <v>1773</v>
      </c>
      <c r="H377" s="160" t="s">
        <v>1816</v>
      </c>
      <c r="I377" s="160" t="str">
        <f>IF(TRIM(SUBSTITUTE('AML.04.10'!$S$11&amp;"",CHAR(160),""))="","OK",IF(OR(NOT(ISNUMBER('AML.04.10'!$S$11)),IFERROR(INT('AML.04.10'!$S$11)&lt;&gt;'AML.04.10'!$S$11,TRUE)),$G377&amp;": "&amp;$H377,"OK"))</f>
        <v>OK</v>
      </c>
      <c r="J377" s="57" t="str">
        <f>IF(LEN(IF(VLOOKUP("AMLA_VR_AML.04.10_C0180_01",$A:$I,9,0)&lt;&gt;"OK",CHAR(10)&amp;VLOOKUP("AMLA_VR_AML.04.10_C0180_01",$A:$I,9,0),"")&amp;IF(VLOOKUP("AMLA_VR_AML.04.10_C0180_02",$A:$I,9,0)&lt;&gt;"OK",CHAR(10)&amp;VLOOKUP("AMLA_VR_AML.04.10_C0180_02",$A:$I,9,0),""))=0,"OK",MID(IF(VLOOKUP("AMLA_VR_AML.04.10_C0180_01",$A:$I,9,0)&lt;&gt;"OK",CHAR(10)&amp;VLOOKUP("AMLA_VR_AML.04.10_C0180_01",$A:$I,9,0),"")&amp;IF(VLOOKUP("AMLA_VR_AML.04.10_C0180_02",$A:$I,9,0)&lt;&gt;"OK",CHAR(10)&amp;VLOOKUP("AMLA_VR_AML.04.10_C0180_02",$A:$I,9,0),""),2,3000))</f>
        <v>OK</v>
      </c>
      <c r="K377" s="161" t="s">
        <v>1775</v>
      </c>
    </row>
    <row r="378" spans="1:11">
      <c r="A378" s="159" t="str">
        <f>"AMLA_VR_" &amp; B378 &amp; "_" &amp; C378 &amp; "_" &amp; TEXT(COUNTIFS($B$2:B378, B378, $C$2:C378, C378), "00")</f>
        <v>AMLA_VR_AML.04.11_C0010_01</v>
      </c>
      <c r="B378" s="160" t="s">
        <v>289</v>
      </c>
      <c r="C378" s="160" t="s">
        <v>81</v>
      </c>
      <c r="D378" s="160" t="s">
        <v>1549</v>
      </c>
      <c r="E378" s="160" t="str" cm="1">
        <f t="array" aca="1" ref="E378" ca="1">IF(C378="", INDIRECT("'"&amp;B378&amp;"'!B3"), INDEX(INDIRECT("'"&amp;B378&amp;"'!5:5"), COLUMN(INDIRECT("'"&amp;B378&amp;"'!"&amp;D378))))</f>
        <v>Management of UCITS - Retail Investors</v>
      </c>
      <c r="F378" s="160" t="s">
        <v>1772</v>
      </c>
      <c r="G378" s="160" t="s">
        <v>1773</v>
      </c>
      <c r="H378" s="160" t="s">
        <v>1815</v>
      </c>
      <c r="I378" s="160" t="str">
        <f>IF('AML.04.11'!$B$11&lt;0, $G378 &amp; ": " &amp; $H378, "OK")</f>
        <v>OK</v>
      </c>
      <c r="J378" s="57" t="str">
        <f>IF(LEN(IF(VLOOKUP("AMLA_VR_AML.04.11_C0010_01",$A:$I,9,0)&lt;&gt;"OK",CHAR(10)&amp;VLOOKUP("AMLA_VR_AML.04.11_C0010_01",$A:$I,9,0),"")&amp;IF(VLOOKUP("AMLA_VR_AML.04.11_C0010_02",$A:$I,9,0)&lt;&gt;"OK",CHAR(10)&amp;VLOOKUP("AMLA_VR_AML.04.11_C0010_02",$A:$I,9,0),"")&amp;IF(VLOOKUP("AMLA_VR_AML.04.11_C0010_03",$A:$I,9,0)&lt;&gt;"OK",CHAR(10)&amp;VLOOKUP("AMLA_VR_AML.04.11_C0010_03",$A:$I,9,0),""))=0,"OK",MID(IF(VLOOKUP("AMLA_VR_AML.04.11_C0010_01",$A:$I,9,0)&lt;&gt;"OK",CHAR(10)&amp;VLOOKUP("AMLA_VR_AML.04.11_C0010_01",$A:$I,9,0),"")&amp;IF(VLOOKUP("AMLA_VR_AML.04.11_C0010_02",$A:$I,9,0)&lt;&gt;"OK",CHAR(10)&amp;VLOOKUP("AMLA_VR_AML.04.11_C0010_02",$A:$I,9,0),"")&amp;IF(VLOOKUP("AMLA_VR_AML.04.11_C0010_03",$A:$I,9,0)&lt;&gt;"OK",CHAR(10)&amp;VLOOKUP("AMLA_VR_AML.04.11_C0010_03",$A:$I,9,0),""),2,3000))</f>
        <v>OK</v>
      </c>
      <c r="K378" s="161" t="s">
        <v>1775</v>
      </c>
    </row>
    <row r="379" spans="1:11">
      <c r="A379" s="159" t="str">
        <f>"AMLA_VR_" &amp; B379 &amp; "_" &amp; C379 &amp; "_" &amp; TEXT(COUNTIFS($B$2:B379, B379, $C$2:C379, C379), "00")</f>
        <v>AMLA_VR_AML.04.11_C0010_02</v>
      </c>
      <c r="B379" s="157" t="s">
        <v>289</v>
      </c>
      <c r="C379" s="157" t="s">
        <v>81</v>
      </c>
      <c r="D379" s="157" t="s">
        <v>1549</v>
      </c>
      <c r="E379" s="160" t="str" cm="1">
        <f t="array" aca="1" ref="E379" ca="1">IF(C379="", INDIRECT("'"&amp;B379&amp;"'!B3"), INDEX(INDIRECT("'"&amp;B379&amp;"'!5:5"), COLUMN(INDIRECT("'"&amp;B379&amp;"'!"&amp;D379))))</f>
        <v>Management of UCITS - Retail Investors</v>
      </c>
      <c r="F379" s="157" t="s">
        <v>1772</v>
      </c>
      <c r="G379" s="157" t="s">
        <v>1773</v>
      </c>
      <c r="H379" s="157" t="s">
        <v>1861</v>
      </c>
      <c r="I379" s="157" t="str">
        <f>IF('AML.04.11'!$B$11 &gt; 'AML.02.01'!$B$11, $G379 &amp; ": " &amp; $H379, "OK")</f>
        <v>OK</v>
      </c>
      <c r="J379" s="171" t="str">
        <f>IF(LEN(IF(VLOOKUP("AMLA_VR_AML.04.11_C0010_01",$A:$I,9,0)&lt;&gt;"OK",CHAR(10)&amp;VLOOKUP("AMLA_VR_AML.04.11_C0010_01",$A:$I,9,0),"")&amp;IF(VLOOKUP("AMLA_VR_AML.04.11_C0010_02",$A:$I,9,0)&lt;&gt;"OK",CHAR(10)&amp;VLOOKUP("AMLA_VR_AML.04.11_C0010_02",$A:$I,9,0),"")&amp;IF(VLOOKUP("AMLA_VR_AML.04.11_C0010_03",$A:$I,9,0)&lt;&gt;"OK",CHAR(10)&amp;VLOOKUP("AMLA_VR_AML.04.11_C0010_03",$A:$I,9,0),""))=0,"OK",MID(IF(VLOOKUP("AMLA_VR_AML.04.11_C0010_01",$A:$I,9,0)&lt;&gt;"OK",CHAR(10)&amp;VLOOKUP("AMLA_VR_AML.04.11_C0010_01",$A:$I,9,0),"")&amp;IF(VLOOKUP("AMLA_VR_AML.04.11_C0010_02",$A:$I,9,0)&lt;&gt;"OK",CHAR(10)&amp;VLOOKUP("AMLA_VR_AML.04.11_C0010_02",$A:$I,9,0),"")&amp;IF(VLOOKUP("AMLA_VR_AML.04.11_C0010_03",$A:$I,9,0)&lt;&gt;"OK",CHAR(10)&amp;VLOOKUP("AMLA_VR_AML.04.11_C0010_03",$A:$I,9,0),""),2,3000))</f>
        <v>OK</v>
      </c>
      <c r="K379" s="158" t="s">
        <v>1775</v>
      </c>
    </row>
    <row r="380" spans="1:11">
      <c r="A380" s="159" t="str">
        <f>"AMLA_VR_" &amp; B380 &amp; "_" &amp; C380 &amp; "_" &amp; TEXT(COUNTIFS($B$2:B380, B380, $C$2:C380, C380), "00")</f>
        <v>AMLA_VR_AML.04.11_C0010_03</v>
      </c>
      <c r="B380" s="157" t="s">
        <v>289</v>
      </c>
      <c r="C380" s="157" t="s">
        <v>81</v>
      </c>
      <c r="D380" s="157" t="s">
        <v>1549</v>
      </c>
      <c r="E380" s="160" t="str" cm="1">
        <f t="array" aca="1" ref="E380" ca="1">IF(C380="", INDIRECT("'"&amp;B380&amp;"'!B3"), INDEX(INDIRECT("'"&amp;B380&amp;"'!5:5"), COLUMN(INDIRECT("'"&amp;B380&amp;"'!"&amp;D380))))</f>
        <v>Management of UCITS - Retail Investors</v>
      </c>
      <c r="F380" s="157" t="s">
        <v>1776</v>
      </c>
      <c r="G380" s="157" t="s">
        <v>1773</v>
      </c>
      <c r="H380" s="157" t="s">
        <v>1816</v>
      </c>
      <c r="I380" s="157" t="str">
        <f>IF(TRIM(SUBSTITUTE('AML.04.11'!$B$11&amp;"",CHAR(160),""))="","OK",IF(OR(NOT(ISNUMBER('AML.04.11'!$B$11)),IFERROR(INT('AML.04.11'!$B$11)&lt;&gt;'AML.04.11'!$B$11,TRUE)),$G380&amp;": "&amp;$H380,"OK"))</f>
        <v>OK</v>
      </c>
      <c r="J380" s="171" t="str">
        <f>IF(LEN(IF(VLOOKUP("AMLA_VR_AML.04.11_C0010_01",$A:$I,9,0)&lt;&gt;"OK",CHAR(10)&amp;VLOOKUP("AMLA_VR_AML.04.11_C0010_01",$A:$I,9,0),"")&amp;IF(VLOOKUP("AMLA_VR_AML.04.11_C0010_02",$A:$I,9,0)&lt;&gt;"OK",CHAR(10)&amp;VLOOKUP("AMLA_VR_AML.04.11_C0010_02",$A:$I,9,0),"")&amp;IF(VLOOKUP("AMLA_VR_AML.04.11_C0010_03",$A:$I,9,0)&lt;&gt;"OK",CHAR(10)&amp;VLOOKUP("AMLA_VR_AML.04.11_C0010_03",$A:$I,9,0),""))=0,"OK",MID(IF(VLOOKUP("AMLA_VR_AML.04.11_C0010_01",$A:$I,9,0)&lt;&gt;"OK",CHAR(10)&amp;VLOOKUP("AMLA_VR_AML.04.11_C0010_01",$A:$I,9,0),"")&amp;IF(VLOOKUP("AMLA_VR_AML.04.11_C0010_02",$A:$I,9,0)&lt;&gt;"OK",CHAR(10)&amp;VLOOKUP("AMLA_VR_AML.04.11_C0010_02",$A:$I,9,0),"")&amp;IF(VLOOKUP("AMLA_VR_AML.04.11_C0010_03",$A:$I,9,0)&lt;&gt;"OK",CHAR(10)&amp;VLOOKUP("AMLA_VR_AML.04.11_C0010_03",$A:$I,9,0),""),2,3000))</f>
        <v>OK</v>
      </c>
      <c r="K380" s="158" t="s">
        <v>1775</v>
      </c>
    </row>
    <row r="381" spans="1:11">
      <c r="A381" s="159" t="str">
        <f>"AMLA_VR_" &amp; B381 &amp; "_" &amp; C381 &amp; "_" &amp; TEXT(COUNTIFS($B$2:B381, B381, $C$2:C381, C381), "00")</f>
        <v>AMLA_VR_AML.04.11_C0020_01</v>
      </c>
      <c r="B381" s="160" t="s">
        <v>289</v>
      </c>
      <c r="C381" s="160" t="s">
        <v>82</v>
      </c>
      <c r="D381" s="160" t="s">
        <v>1550</v>
      </c>
      <c r="E381" s="160" t="str" cm="1">
        <f t="array" aca="1" ref="E381" ca="1">IF(C381="", INDIRECT("'"&amp;B381&amp;"'!B3"), INDEX(INDIRECT("'"&amp;B381&amp;"'!5:5"), COLUMN(INDIRECT("'"&amp;B381&amp;"'!"&amp;D381))))</f>
        <v>Management of UCITS - Professional Investors</v>
      </c>
      <c r="F381" s="160" t="s">
        <v>1772</v>
      </c>
      <c r="G381" s="160" t="s">
        <v>1773</v>
      </c>
      <c r="H381" s="160" t="s">
        <v>1819</v>
      </c>
      <c r="I381" s="160" t="str">
        <f>IF('AML.04.11'!$C$11&lt;0, $G381 &amp; ": " &amp; $H381, "OK")</f>
        <v>OK</v>
      </c>
      <c r="J381" s="57" t="str">
        <f>IF(LEN(IF(VLOOKUP("AMLA_VR_AML.04.11_C0020_01",$A:$I,9,0)&lt;&gt;"OK",CHAR(10)&amp;VLOOKUP("AMLA_VR_AML.04.11_C0020_01",$A:$I,9,0),"")&amp;IF(VLOOKUP("AMLA_VR_AML.04.11_C0020_02",$A:$I,9,0)&lt;&gt;"OK",CHAR(10)&amp;VLOOKUP("AMLA_VR_AML.04.11_C0020_02",$A:$I,9,0),"")&amp;IF(VLOOKUP("AMLA_VR_AML.04.11_C0020_03",$A:$I,9,0)&lt;&gt;"OK",CHAR(10)&amp;VLOOKUP("AMLA_VR_AML.04.11_C0020_03",$A:$I,9,0),""))=0,"OK",MID(IF(VLOOKUP("AMLA_VR_AML.04.11_C0020_01",$A:$I,9,0)&lt;&gt;"OK",CHAR(10)&amp;VLOOKUP("AMLA_VR_AML.04.11_C0020_01",$A:$I,9,0),"")&amp;IF(VLOOKUP("AMLA_VR_AML.04.11_C0020_02",$A:$I,9,0)&lt;&gt;"OK",CHAR(10)&amp;VLOOKUP("AMLA_VR_AML.04.11_C0020_02",$A:$I,9,0),"")&amp;IF(VLOOKUP("AMLA_VR_AML.04.11_C0020_03",$A:$I,9,0)&lt;&gt;"OK",CHAR(10)&amp;VLOOKUP("AMLA_VR_AML.04.11_C0020_03",$A:$I,9,0),""),2,3000))</f>
        <v>OK</v>
      </c>
      <c r="K381" s="161" t="s">
        <v>1775</v>
      </c>
    </row>
    <row r="382" spans="1:11">
      <c r="A382" s="159" t="str">
        <f>"AMLA_VR_" &amp; B382 &amp; "_" &amp; C382 &amp; "_" &amp; TEXT(COUNTIFS($B$2:B382, B382, $C$2:C382, C382), "00")</f>
        <v>AMLA_VR_AML.04.11_C0020_02</v>
      </c>
      <c r="B382" s="157" t="s">
        <v>289</v>
      </c>
      <c r="C382" s="157" t="s">
        <v>82</v>
      </c>
      <c r="D382" s="157" t="s">
        <v>1550</v>
      </c>
      <c r="E382" s="160" t="str" cm="1">
        <f t="array" aca="1" ref="E382" ca="1">IF(C382="", INDIRECT("'"&amp;B382&amp;"'!B3"), INDEX(INDIRECT("'"&amp;B382&amp;"'!5:5"), COLUMN(INDIRECT("'"&amp;B382&amp;"'!"&amp;D382))))</f>
        <v>Management of UCITS - Professional Investors</v>
      </c>
      <c r="F382" s="157" t="s">
        <v>1772</v>
      </c>
      <c r="G382" s="157" t="s">
        <v>1773</v>
      </c>
      <c r="H382" s="157" t="s">
        <v>1862</v>
      </c>
      <c r="I382" s="171" t="str">
        <f>IF('AML.04.11'!$C$11 &gt; 'AML.02.01'!$B$11, $G382 &amp; ": " &amp; $H382, "OK")</f>
        <v>OK</v>
      </c>
      <c r="J382" s="171" t="str">
        <f>IF(LEN(IF(VLOOKUP("AMLA_VR_AML.04.11_C0020_01",$A:$I,9,0)&lt;&gt;"OK",CHAR(10)&amp;VLOOKUP("AMLA_VR_AML.04.11_C0020_01",$A:$I,9,0),"")&amp;IF(VLOOKUP("AMLA_VR_AML.04.11_C0020_02",$A:$I,9,0)&lt;&gt;"OK",CHAR(10)&amp;VLOOKUP("AMLA_VR_AML.04.11_C0020_02",$A:$I,9,0),"")&amp;IF(VLOOKUP("AMLA_VR_AML.04.11_C0020_03",$A:$I,9,0)&lt;&gt;"OK",CHAR(10)&amp;VLOOKUP("AMLA_VR_AML.04.11_C0020_03",$A:$I,9,0),""))=0,"OK",MID(IF(VLOOKUP("AMLA_VR_AML.04.11_C0020_01",$A:$I,9,0)&lt;&gt;"OK",CHAR(10)&amp;VLOOKUP("AMLA_VR_AML.04.11_C0020_01",$A:$I,9,0),"")&amp;IF(VLOOKUP("AMLA_VR_AML.04.11_C0020_02",$A:$I,9,0)&lt;&gt;"OK",CHAR(10)&amp;VLOOKUP("AMLA_VR_AML.04.11_C0020_02",$A:$I,9,0),"")&amp;IF(VLOOKUP("AMLA_VR_AML.04.11_C0020_03",$A:$I,9,0)&lt;&gt;"OK",CHAR(10)&amp;VLOOKUP("AMLA_VR_AML.04.11_C0020_03",$A:$I,9,0),""),2,3000))</f>
        <v>OK</v>
      </c>
      <c r="K382" s="158" t="s">
        <v>1775</v>
      </c>
    </row>
    <row r="383" spans="1:11">
      <c r="A383" s="159" t="str">
        <f>"AMLA_VR_" &amp; B383 &amp; "_" &amp; C383 &amp; "_" &amp; TEXT(COUNTIFS($B$2:B383, B383, $C$2:C383, C383), "00")</f>
        <v>AMLA_VR_AML.04.11_C0020_03</v>
      </c>
      <c r="B383" s="160" t="s">
        <v>289</v>
      </c>
      <c r="C383" s="160" t="s">
        <v>82</v>
      </c>
      <c r="D383" s="160" t="s">
        <v>1550</v>
      </c>
      <c r="E383" s="160" t="str" cm="1">
        <f t="array" aca="1" ref="E383" ca="1">IF(C383="", INDIRECT("'"&amp;B383&amp;"'!B3"), INDEX(INDIRECT("'"&amp;B383&amp;"'!5:5"), COLUMN(INDIRECT("'"&amp;B383&amp;"'!"&amp;D383))))</f>
        <v>Management of UCITS - Professional Investors</v>
      </c>
      <c r="F383" s="160" t="s">
        <v>1776</v>
      </c>
      <c r="G383" s="160" t="s">
        <v>1773</v>
      </c>
      <c r="H383" s="160" t="s">
        <v>1816</v>
      </c>
      <c r="I383" s="57" t="str">
        <f>IF(TRIM(SUBSTITUTE('AML.04.11'!$C$11&amp;"",CHAR(160),""))="","OK",IF(OR(NOT(ISNUMBER('AML.04.11'!$C$11)),IFERROR(INT('AML.04.11'!$C$11)&lt;&gt;'AML.04.11'!$C$11,TRUE)),$G383&amp;": "&amp;$H383,"OK"))</f>
        <v>OK</v>
      </c>
      <c r="J383" s="57" t="str">
        <f>IF(LEN(IF(VLOOKUP("AMLA_VR_AML.04.11_C0020_01",$A:$I,9,0)&lt;&gt;"OK",CHAR(10)&amp;VLOOKUP("AMLA_VR_AML.04.11_C0020_01",$A:$I,9,0),"")&amp;IF(VLOOKUP("AMLA_VR_AML.04.11_C0020_02",$A:$I,9,0)&lt;&gt;"OK",CHAR(10)&amp;VLOOKUP("AMLA_VR_AML.04.11_C0020_02",$A:$I,9,0),"")&amp;IF(VLOOKUP("AMLA_VR_AML.04.11_C0020_03",$A:$I,9,0)&lt;&gt;"OK",CHAR(10)&amp;VLOOKUP("AMLA_VR_AML.04.11_C0020_03",$A:$I,9,0),""))=0,"OK",MID(IF(VLOOKUP("AMLA_VR_AML.04.11_C0020_01",$A:$I,9,0)&lt;&gt;"OK",CHAR(10)&amp;VLOOKUP("AMLA_VR_AML.04.11_C0020_01",$A:$I,9,0),"")&amp;IF(VLOOKUP("AMLA_VR_AML.04.11_C0020_02",$A:$I,9,0)&lt;&gt;"OK",CHAR(10)&amp;VLOOKUP("AMLA_VR_AML.04.11_C0020_02",$A:$I,9,0),"")&amp;IF(VLOOKUP("AMLA_VR_AML.04.11_C0020_03",$A:$I,9,0)&lt;&gt;"OK",CHAR(10)&amp;VLOOKUP("AMLA_VR_AML.04.11_C0020_03",$A:$I,9,0),""),2,3000))</f>
        <v>OK</v>
      </c>
      <c r="K383" s="161" t="s">
        <v>1775</v>
      </c>
    </row>
    <row r="384" spans="1:11">
      <c r="A384" s="159" t="str">
        <f>"AMLA_VR_" &amp; B384 &amp; "_" &amp; C384 &amp; "_" &amp; TEXT(COUNTIFS($B$2:B384, B384, $C$2:C384, C384), "00")</f>
        <v>AMLA_VR_AML.04.11_C0030_01</v>
      </c>
      <c r="B384" s="160" t="s">
        <v>289</v>
      </c>
      <c r="C384" s="160" t="s">
        <v>83</v>
      </c>
      <c r="D384" s="160" t="s">
        <v>1551</v>
      </c>
      <c r="E384" s="160" t="str" cm="1">
        <f t="array" aca="1" ref="E384" ca="1">IF(C384="", INDIRECT("'"&amp;B384&amp;"'!B3"), INDEX(INDIRECT("'"&amp;B384&amp;"'!5:5"), COLUMN(INDIRECT("'"&amp;B384&amp;"'!"&amp;D384))))</f>
        <v>Management of UCITS - Total AUM</v>
      </c>
      <c r="F384" s="160" t="s">
        <v>1772</v>
      </c>
      <c r="G384" s="160" t="s">
        <v>1773</v>
      </c>
      <c r="H384" s="160" t="s">
        <v>1820</v>
      </c>
      <c r="I384" s="57" t="str">
        <f>IF('AML.04.11'!$D$11&lt;0, $G384 &amp; ": " &amp; $H384, "OK")</f>
        <v>OK</v>
      </c>
      <c r="J384" s="57" t="str">
        <f>IF(LEN(IF(VLOOKUP("AMLA_VR_AML.04.11_C0030_01",$A:$I,9,0)&lt;&gt;"OK",CHAR(10)&amp;VLOOKUP("AMLA_VR_AML.04.11_C0030_01",$A:$I,9,0),"")&amp;IF(VLOOKUP("AMLA_VR_AML.04.11_C0030_02",$A:$I,9,0)&lt;&gt;"OK",CHAR(10)&amp;VLOOKUP("AMLA_VR_AML.04.11_C0030_02",$A:$I,9,0),""))=0,"OK",MID(IF(VLOOKUP("AMLA_VR_AML.04.11_C0030_01",$A:$I,9,0)&lt;&gt;"OK",CHAR(10)&amp;VLOOKUP("AMLA_VR_AML.04.11_C0030_01",$A:$I,9,0),"")&amp;IF(VLOOKUP("AMLA_VR_AML.04.11_C0030_02",$A:$I,9,0)&lt;&gt;"OK",CHAR(10)&amp;VLOOKUP("AMLA_VR_AML.04.11_C0030_02",$A:$I,9,0),""),2,3000))</f>
        <v>OK</v>
      </c>
      <c r="K384" s="161" t="s">
        <v>1775</v>
      </c>
    </row>
    <row r="385" spans="1:11">
      <c r="A385" s="159" t="str">
        <f>"AMLA_VR_" &amp; B385 &amp; "_" &amp; C385 &amp; "_" &amp; TEXT(COUNTIFS($B$2:B385, B385, $C$2:C385, C385), "00")</f>
        <v>AMLA_VR_AML.04.11_C0030_02</v>
      </c>
      <c r="B385" s="157" t="s">
        <v>289</v>
      </c>
      <c r="C385" s="157" t="s">
        <v>83</v>
      </c>
      <c r="D385" s="157" t="s">
        <v>1551</v>
      </c>
      <c r="E385" s="160" t="str" cm="1">
        <f t="array" aca="1" ref="E385" ca="1">IF(C385="", INDIRECT("'"&amp;B385&amp;"'!B3"), INDEX(INDIRECT("'"&amp;B385&amp;"'!5:5"), COLUMN(INDIRECT("'"&amp;B385&amp;"'!"&amp;D385))))</f>
        <v>Management of UCITS - Total AUM</v>
      </c>
      <c r="F385" s="157" t="s">
        <v>1776</v>
      </c>
      <c r="G385" s="157" t="s">
        <v>1773</v>
      </c>
      <c r="H385" s="157" t="s">
        <v>1837</v>
      </c>
      <c r="I385" s="171" t="str">
        <f>IF(TRIM(SUBSTITUTE('AML.04.11'!$D$11&amp;"",CHAR(160),""))="","OK",IF(NOT(ISNUMBER('AML.04.11'!$D$11)),$G385&amp;": "&amp;$H385,"OK"))</f>
        <v>OK</v>
      </c>
      <c r="J385" s="171" t="str">
        <f>IF(LEN(IF(VLOOKUP("AMLA_VR_AML.04.11_C0030_01",$A:$I,9,0)&lt;&gt;"OK",CHAR(10)&amp;VLOOKUP("AMLA_VR_AML.04.11_C0030_01",$A:$I,9,0),"")&amp;IF(VLOOKUP("AMLA_VR_AML.04.11_C0030_02",$A:$I,9,0)&lt;&gt;"OK",CHAR(10)&amp;VLOOKUP("AMLA_VR_AML.04.11_C0030_02",$A:$I,9,0),""))=0,"OK",MID(IF(VLOOKUP("AMLA_VR_AML.04.11_C0030_01",$A:$I,9,0)&lt;&gt;"OK",CHAR(10)&amp;VLOOKUP("AMLA_VR_AML.04.11_C0030_01",$A:$I,9,0),"")&amp;IF(VLOOKUP("AMLA_VR_AML.04.11_C0030_02",$A:$I,9,0)&lt;&gt;"OK",CHAR(10)&amp;VLOOKUP("AMLA_VR_AML.04.11_C0030_02",$A:$I,9,0),""),2,3000))</f>
        <v>OK</v>
      </c>
      <c r="K385" s="158" t="s">
        <v>1775</v>
      </c>
    </row>
    <row r="386" spans="1:11">
      <c r="A386" s="159" t="str">
        <f>"AMLA_VR_" &amp; B386 &amp; "_" &amp; C386 &amp; "_" &amp; TEXT(COUNTIFS($B$2:B386, B386, $C$2:C386, C386), "00")</f>
        <v>AMLA_VR_AML.04.11_C0040_01</v>
      </c>
      <c r="B386" s="157" t="s">
        <v>289</v>
      </c>
      <c r="C386" s="157" t="s">
        <v>84</v>
      </c>
      <c r="D386" s="157" t="s">
        <v>1552</v>
      </c>
      <c r="E386" s="160" t="str" cm="1">
        <f t="array" aca="1" ref="E386" ca="1">IF(C386="", INDIRECT("'"&amp;B386&amp;"'!B3"), INDEX(INDIRECT("'"&amp;B386&amp;"'!5:5"), COLUMN(INDIRECT("'"&amp;B386&amp;"'!"&amp;D386))))</f>
        <v>Management of AIFs - Retail Investors</v>
      </c>
      <c r="F386" s="157" t="s">
        <v>1772</v>
      </c>
      <c r="G386" s="157" t="s">
        <v>1773</v>
      </c>
      <c r="H386" s="157" t="s">
        <v>1821</v>
      </c>
      <c r="I386" s="157" t="str">
        <f>IF('AML.04.11'!$E$11&lt;0, $G386 &amp; ": " &amp; $H386, "OK")</f>
        <v>OK</v>
      </c>
      <c r="J386" s="171" t="str">
        <f>IF(LEN(IF(VLOOKUP("AMLA_VR_AML.04.11_C0040_01",$A:$I,9,0)&lt;&gt;"OK",CHAR(10)&amp;VLOOKUP("AMLA_VR_AML.04.11_C0040_01",$A:$I,9,0),"")&amp;IF(VLOOKUP("AMLA_VR_AML.04.11_C0040_02",$A:$I,9,0)&lt;&gt;"OK",CHAR(10)&amp;VLOOKUP("AMLA_VR_AML.04.11_C0040_02",$A:$I,9,0),"")&amp;IF(VLOOKUP("AMLA_VR_AML.04.11_C0040_03",$A:$I,9,0)&lt;&gt;"OK",CHAR(10)&amp;VLOOKUP("AMLA_VR_AML.04.11_C0040_03",$A:$I,9,0),""))=0,"OK",MID(IF(VLOOKUP("AMLA_VR_AML.04.11_C0040_01",$A:$I,9,0)&lt;&gt;"OK",CHAR(10)&amp;VLOOKUP("AMLA_VR_AML.04.11_C0040_01",$A:$I,9,0),"")&amp;IF(VLOOKUP("AMLA_VR_AML.04.11_C0040_02",$A:$I,9,0)&lt;&gt;"OK",CHAR(10)&amp;VLOOKUP("AMLA_VR_AML.04.11_C0040_02",$A:$I,9,0),"")&amp;IF(VLOOKUP("AMLA_VR_AML.04.11_C0040_03",$A:$I,9,0)&lt;&gt;"OK",CHAR(10)&amp;VLOOKUP("AMLA_VR_AML.04.11_C0040_03",$A:$I,9,0),""),2,3000))</f>
        <v>OK</v>
      </c>
      <c r="K386" s="158" t="s">
        <v>1775</v>
      </c>
    </row>
    <row r="387" spans="1:11">
      <c r="A387" s="159" t="str">
        <f>"AMLA_VR_" &amp; B387 &amp; "_" &amp; C387 &amp; "_" &amp; TEXT(COUNTIFS($B$2:B387, B387, $C$2:C387, C387), "00")</f>
        <v>AMLA_VR_AML.04.11_C0040_02</v>
      </c>
      <c r="B387" s="160" t="s">
        <v>289</v>
      </c>
      <c r="C387" s="160" t="s">
        <v>84</v>
      </c>
      <c r="D387" s="160" t="s">
        <v>1552</v>
      </c>
      <c r="E387" s="160" t="str" cm="1">
        <f t="array" aca="1" ref="E387" ca="1">IF(C387="", INDIRECT("'"&amp;B387&amp;"'!B3"), INDEX(INDIRECT("'"&amp;B387&amp;"'!5:5"), COLUMN(INDIRECT("'"&amp;B387&amp;"'!"&amp;D387))))</f>
        <v>Management of AIFs - Retail Investors</v>
      </c>
      <c r="F387" s="160" t="s">
        <v>1772</v>
      </c>
      <c r="G387" s="160" t="s">
        <v>1773</v>
      </c>
      <c r="H387" s="160" t="s">
        <v>1892</v>
      </c>
      <c r="I387" s="160" t="str">
        <f>IF('AML.04.11'!$E$11 &gt; 'AML.02.01'!$B$11, $G387 &amp; ": " &amp; $H387, "OK")</f>
        <v>OK</v>
      </c>
      <c r="J387" s="57" t="str">
        <f>IF(LEN(IF(VLOOKUP("AMLA_VR_AML.04.11_C0040_01",$A:$I,9,0)&lt;&gt;"OK",CHAR(10)&amp;VLOOKUP("AMLA_VR_AML.04.11_C0040_01",$A:$I,9,0),"")&amp;IF(VLOOKUP("AMLA_VR_AML.04.11_C0040_02",$A:$I,9,0)&lt;&gt;"OK",CHAR(10)&amp;VLOOKUP("AMLA_VR_AML.04.11_C0040_02",$A:$I,9,0),"")&amp;IF(VLOOKUP("AMLA_VR_AML.04.11_C0040_03",$A:$I,9,0)&lt;&gt;"OK",CHAR(10)&amp;VLOOKUP("AMLA_VR_AML.04.11_C0040_03",$A:$I,9,0),""))=0,"OK",MID(IF(VLOOKUP("AMLA_VR_AML.04.11_C0040_01",$A:$I,9,0)&lt;&gt;"OK",CHAR(10)&amp;VLOOKUP("AMLA_VR_AML.04.11_C0040_01",$A:$I,9,0),"")&amp;IF(VLOOKUP("AMLA_VR_AML.04.11_C0040_02",$A:$I,9,0)&lt;&gt;"OK",CHAR(10)&amp;VLOOKUP("AMLA_VR_AML.04.11_C0040_02",$A:$I,9,0),"")&amp;IF(VLOOKUP("AMLA_VR_AML.04.11_C0040_03",$A:$I,9,0)&lt;&gt;"OK",CHAR(10)&amp;VLOOKUP("AMLA_VR_AML.04.11_C0040_03",$A:$I,9,0),""),2,3000))</f>
        <v>OK</v>
      </c>
      <c r="K387" s="161" t="s">
        <v>1775</v>
      </c>
    </row>
    <row r="388" spans="1:11">
      <c r="A388" s="159" t="str">
        <f>"AMLA_VR_" &amp; B388 &amp; "_" &amp; C388 &amp; "_" &amp; TEXT(COUNTIFS($B$2:B388, B388, $C$2:C388, C388), "00")</f>
        <v>AMLA_VR_AML.04.11_C0040_03</v>
      </c>
      <c r="B388" s="160" t="s">
        <v>289</v>
      </c>
      <c r="C388" s="160" t="s">
        <v>84</v>
      </c>
      <c r="D388" s="160" t="s">
        <v>1552</v>
      </c>
      <c r="E388" s="160" t="str" cm="1">
        <f t="array" aca="1" ref="E388" ca="1">IF(C388="", INDIRECT("'"&amp;B388&amp;"'!B3"), INDEX(INDIRECT("'"&amp;B388&amp;"'!5:5"), COLUMN(INDIRECT("'"&amp;B388&amp;"'!"&amp;D388))))</f>
        <v>Management of AIFs - Retail Investors</v>
      </c>
      <c r="F388" s="160" t="s">
        <v>1776</v>
      </c>
      <c r="G388" s="160" t="s">
        <v>1773</v>
      </c>
      <c r="H388" s="160" t="s">
        <v>1816</v>
      </c>
      <c r="I388" s="160" t="str">
        <f>IF(TRIM(SUBSTITUTE('AML.04.11'!$E$11&amp;"",CHAR(160),""))="","OK",IF(OR(NOT(ISNUMBER('AML.04.11'!$E$11)),IFERROR(INT('AML.04.11'!$E$11)&lt;&gt;'AML.04.11'!$E$11,TRUE)),$G388&amp;": "&amp;$H388,"OK"))</f>
        <v>OK</v>
      </c>
      <c r="J388" s="57" t="str">
        <f>IF(LEN(IF(VLOOKUP("AMLA_VR_AML.04.11_C0040_01",$A:$I,9,0)&lt;&gt;"OK",CHAR(10)&amp;VLOOKUP("AMLA_VR_AML.04.11_C0040_01",$A:$I,9,0),"")&amp;IF(VLOOKUP("AMLA_VR_AML.04.11_C0040_02",$A:$I,9,0)&lt;&gt;"OK",CHAR(10)&amp;VLOOKUP("AMLA_VR_AML.04.11_C0040_02",$A:$I,9,0),"")&amp;IF(VLOOKUP("AMLA_VR_AML.04.11_C0040_03",$A:$I,9,0)&lt;&gt;"OK",CHAR(10)&amp;VLOOKUP("AMLA_VR_AML.04.11_C0040_03",$A:$I,9,0),""))=0,"OK",MID(IF(VLOOKUP("AMLA_VR_AML.04.11_C0040_01",$A:$I,9,0)&lt;&gt;"OK",CHAR(10)&amp;VLOOKUP("AMLA_VR_AML.04.11_C0040_01",$A:$I,9,0),"")&amp;IF(VLOOKUP("AMLA_VR_AML.04.11_C0040_02",$A:$I,9,0)&lt;&gt;"OK",CHAR(10)&amp;VLOOKUP("AMLA_VR_AML.04.11_C0040_02",$A:$I,9,0),"")&amp;IF(VLOOKUP("AMLA_VR_AML.04.11_C0040_03",$A:$I,9,0)&lt;&gt;"OK",CHAR(10)&amp;VLOOKUP("AMLA_VR_AML.04.11_C0040_03",$A:$I,9,0),""),2,3000))</f>
        <v>OK</v>
      </c>
      <c r="K388" s="161" t="s">
        <v>1775</v>
      </c>
    </row>
    <row r="389" spans="1:11">
      <c r="A389" s="159" t="str">
        <f>"AMLA_VR_" &amp; B389 &amp; "_" &amp; C389 &amp; "_" &amp; TEXT(COUNTIFS($B$2:B389, B389, $C$2:C389, C389), "00")</f>
        <v>AMLA_VR_AML.04.11_C0050_01</v>
      </c>
      <c r="B389" s="157" t="s">
        <v>289</v>
      </c>
      <c r="C389" s="157" t="s">
        <v>85</v>
      </c>
      <c r="D389" s="157" t="s">
        <v>1553</v>
      </c>
      <c r="E389" s="160" t="str" cm="1">
        <f t="array" aca="1" ref="E389" ca="1">IF(C389="", INDIRECT("'"&amp;B389&amp;"'!B3"), INDEX(INDIRECT("'"&amp;B389&amp;"'!5:5"), COLUMN(INDIRECT("'"&amp;B389&amp;"'!"&amp;D389))))</f>
        <v>Management of AIFs - Professional Investors</v>
      </c>
      <c r="F389" s="157" t="s">
        <v>1772</v>
      </c>
      <c r="G389" s="157" t="s">
        <v>1773</v>
      </c>
      <c r="H389" s="157" t="s">
        <v>1822</v>
      </c>
      <c r="I389" s="157" t="str">
        <f>IF('AML.04.11'!$F$11&lt;0, $G389 &amp; ": " &amp; $H389, "OK")</f>
        <v>OK</v>
      </c>
      <c r="J389" s="171" t="str">
        <f>IF(LEN(IF(VLOOKUP("AMLA_VR_AML.04.11_C0050_01",$A:$I,9,0)&lt;&gt;"OK",CHAR(10)&amp;VLOOKUP("AMLA_VR_AML.04.11_C0050_01",$A:$I,9,0),"")&amp;IF(VLOOKUP("AMLA_VR_AML.04.11_C0050_02",$A:$I,9,0)&lt;&gt;"OK",CHAR(10)&amp;VLOOKUP("AMLA_VR_AML.04.11_C0050_02",$A:$I,9,0),"")&amp;IF(VLOOKUP("AMLA_VR_AML.04.11_C0050_03",$A:$I,9,0)&lt;&gt;"OK",CHAR(10)&amp;VLOOKUP("AMLA_VR_AML.04.11_C0050_03",$A:$I,9,0),""))=0,"OK",MID(IF(VLOOKUP("AMLA_VR_AML.04.11_C0050_01",$A:$I,9,0)&lt;&gt;"OK",CHAR(10)&amp;VLOOKUP("AMLA_VR_AML.04.11_C0050_01",$A:$I,9,0),"")&amp;IF(VLOOKUP("AMLA_VR_AML.04.11_C0050_02",$A:$I,9,0)&lt;&gt;"OK",CHAR(10)&amp;VLOOKUP("AMLA_VR_AML.04.11_C0050_02",$A:$I,9,0),"")&amp;IF(VLOOKUP("AMLA_VR_AML.04.11_C0050_03",$A:$I,9,0)&lt;&gt;"OK",CHAR(10)&amp;VLOOKUP("AMLA_VR_AML.04.11_C0050_03",$A:$I,9,0),""),2,3000))</f>
        <v>OK</v>
      </c>
      <c r="K389" s="158" t="s">
        <v>1775</v>
      </c>
    </row>
    <row r="390" spans="1:11">
      <c r="A390" s="159" t="str">
        <f>"AMLA_VR_" &amp; B390 &amp; "_" &amp; C390 &amp; "_" &amp; TEXT(COUNTIFS($B$2:B390, B390, $C$2:C390, C390), "00")</f>
        <v>AMLA_VR_AML.04.11_C0050_02</v>
      </c>
      <c r="B390" s="160" t="s">
        <v>289</v>
      </c>
      <c r="C390" s="160" t="s">
        <v>85</v>
      </c>
      <c r="D390" s="160" t="s">
        <v>1553</v>
      </c>
      <c r="E390" s="160" t="str" cm="1">
        <f t="array" aca="1" ref="E390" ca="1">IF(C390="", INDIRECT("'"&amp;B390&amp;"'!B3"), INDEX(INDIRECT("'"&amp;B390&amp;"'!5:5"), COLUMN(INDIRECT("'"&amp;B390&amp;"'!"&amp;D390))))</f>
        <v>Management of AIFs - Professional Investors</v>
      </c>
      <c r="F390" s="160" t="s">
        <v>1772</v>
      </c>
      <c r="G390" s="160" t="s">
        <v>1773</v>
      </c>
      <c r="H390" s="160" t="s">
        <v>1893</v>
      </c>
      <c r="I390" s="160" t="str">
        <f>IF('AML.04.11'!$F$11 &gt; 'AML.02.01'!$B$11, $G390 &amp; ": " &amp; $H390, "OK")</f>
        <v>OK</v>
      </c>
      <c r="J390" s="57" t="str">
        <f>IF(LEN(IF(VLOOKUP("AMLA_VR_AML.04.11_C0050_01",$A:$I,9,0)&lt;&gt;"OK",CHAR(10)&amp;VLOOKUP("AMLA_VR_AML.04.11_C0050_01",$A:$I,9,0),"")&amp;IF(VLOOKUP("AMLA_VR_AML.04.11_C0050_02",$A:$I,9,0)&lt;&gt;"OK",CHAR(10)&amp;VLOOKUP("AMLA_VR_AML.04.11_C0050_02",$A:$I,9,0),"")&amp;IF(VLOOKUP("AMLA_VR_AML.04.11_C0050_03",$A:$I,9,0)&lt;&gt;"OK",CHAR(10)&amp;VLOOKUP("AMLA_VR_AML.04.11_C0050_03",$A:$I,9,0),""))=0,"OK",MID(IF(VLOOKUP("AMLA_VR_AML.04.11_C0050_01",$A:$I,9,0)&lt;&gt;"OK",CHAR(10)&amp;VLOOKUP("AMLA_VR_AML.04.11_C0050_01",$A:$I,9,0),"")&amp;IF(VLOOKUP("AMLA_VR_AML.04.11_C0050_02",$A:$I,9,0)&lt;&gt;"OK",CHAR(10)&amp;VLOOKUP("AMLA_VR_AML.04.11_C0050_02",$A:$I,9,0),"")&amp;IF(VLOOKUP("AMLA_VR_AML.04.11_C0050_03",$A:$I,9,0)&lt;&gt;"OK",CHAR(10)&amp;VLOOKUP("AMLA_VR_AML.04.11_C0050_03",$A:$I,9,0),""),2,3000))</f>
        <v>OK</v>
      </c>
      <c r="K390" s="161" t="s">
        <v>1775</v>
      </c>
    </row>
    <row r="391" spans="1:11">
      <c r="A391" s="159" t="str">
        <f>"AMLA_VR_" &amp; B391 &amp; "_" &amp; C391 &amp; "_" &amp; TEXT(COUNTIFS($B$2:B391, B391, $C$2:C391, C391), "00")</f>
        <v>AMLA_VR_AML.04.11_C0050_03</v>
      </c>
      <c r="B391" s="157" t="s">
        <v>289</v>
      </c>
      <c r="C391" s="157" t="s">
        <v>85</v>
      </c>
      <c r="D391" s="157" t="s">
        <v>1553</v>
      </c>
      <c r="E391" s="160" t="str" cm="1">
        <f t="array" aca="1" ref="E391" ca="1">IF(C391="", INDIRECT("'"&amp;B391&amp;"'!B3"), INDEX(INDIRECT("'"&amp;B391&amp;"'!5:5"), COLUMN(INDIRECT("'"&amp;B391&amp;"'!"&amp;D391))))</f>
        <v>Management of AIFs - Professional Investors</v>
      </c>
      <c r="F391" s="157" t="s">
        <v>1776</v>
      </c>
      <c r="G391" s="157" t="s">
        <v>1773</v>
      </c>
      <c r="H391" s="157" t="s">
        <v>1816</v>
      </c>
      <c r="I391" s="157" t="str">
        <f>IF(TRIM(SUBSTITUTE('AML.04.11'!$F$11&amp;"",CHAR(160),""))="","OK",IF(OR(NOT(ISNUMBER('AML.04.11'!$F$11)),IFERROR(INT('AML.04.11'!$F$11)&lt;&gt;'AML.04.11'!$F$11,TRUE)),$G391&amp;": "&amp;$H391,"OK"))</f>
        <v>OK</v>
      </c>
      <c r="J391" s="171" t="str">
        <f>IF(LEN(IF(VLOOKUP("AMLA_VR_AML.04.11_C0050_01",$A:$I,9,0)&lt;&gt;"OK",CHAR(10)&amp;VLOOKUP("AMLA_VR_AML.04.11_C0050_01",$A:$I,9,0),"")&amp;IF(VLOOKUP("AMLA_VR_AML.04.11_C0050_02",$A:$I,9,0)&lt;&gt;"OK",CHAR(10)&amp;VLOOKUP("AMLA_VR_AML.04.11_C0050_02",$A:$I,9,0),"")&amp;IF(VLOOKUP("AMLA_VR_AML.04.11_C0050_03",$A:$I,9,0)&lt;&gt;"OK",CHAR(10)&amp;VLOOKUP("AMLA_VR_AML.04.11_C0050_03",$A:$I,9,0),""))=0,"OK",MID(IF(VLOOKUP("AMLA_VR_AML.04.11_C0050_01",$A:$I,9,0)&lt;&gt;"OK",CHAR(10)&amp;VLOOKUP("AMLA_VR_AML.04.11_C0050_01",$A:$I,9,0),"")&amp;IF(VLOOKUP("AMLA_VR_AML.04.11_C0050_02",$A:$I,9,0)&lt;&gt;"OK",CHAR(10)&amp;VLOOKUP("AMLA_VR_AML.04.11_C0050_02",$A:$I,9,0),"")&amp;IF(VLOOKUP("AMLA_VR_AML.04.11_C0050_03",$A:$I,9,0)&lt;&gt;"OK",CHAR(10)&amp;VLOOKUP("AMLA_VR_AML.04.11_C0050_03",$A:$I,9,0),""),2,3000))</f>
        <v>OK</v>
      </c>
      <c r="K391" s="158" t="s">
        <v>1775</v>
      </c>
    </row>
    <row r="392" spans="1:11">
      <c r="A392" s="159" t="str">
        <f>"AMLA_VR_" &amp; B392 &amp; "_" &amp; C392 &amp; "_" &amp; TEXT(COUNTIFS($B$2:B392, B392, $C$2:C392, C392), "00")</f>
        <v>AMLA_VR_AML.04.11_C0060_01</v>
      </c>
      <c r="B392" s="157" t="s">
        <v>289</v>
      </c>
      <c r="C392" s="157" t="s">
        <v>86</v>
      </c>
      <c r="D392" s="157" t="s">
        <v>1554</v>
      </c>
      <c r="E392" s="160" t="str" cm="1">
        <f t="array" aca="1" ref="E392" ca="1">IF(C392="", INDIRECT("'"&amp;B392&amp;"'!B3"), INDEX(INDIRECT("'"&amp;B392&amp;"'!5:5"), COLUMN(INDIRECT("'"&amp;B392&amp;"'!"&amp;D392))))</f>
        <v>Open-ended Funds - Number</v>
      </c>
      <c r="F392" s="157" t="s">
        <v>1772</v>
      </c>
      <c r="G392" s="157" t="s">
        <v>1773</v>
      </c>
      <c r="H392" s="157" t="s">
        <v>1823</v>
      </c>
      <c r="I392" s="157" t="str">
        <f>IF('AML.04.11'!$G$11&lt;0, $G392 &amp; ": " &amp; $H392, "OK")</f>
        <v>OK</v>
      </c>
      <c r="J392" s="171" t="str">
        <f>IF(LEN(IF(VLOOKUP("AMLA_VR_AML.04.11_C0060_01",$A:$I,9,0)&lt;&gt;"OK",CHAR(10)&amp;VLOOKUP("AMLA_VR_AML.04.11_C0060_01",$A:$I,9,0),"")&amp;IF(VLOOKUP("AMLA_VR_AML.04.11_C0060_02",$A:$I,9,0)&lt;&gt;"OK",CHAR(10)&amp;VLOOKUP("AMLA_VR_AML.04.11_C0060_02",$A:$I,9,0),""))=0,"OK",MID(IF(VLOOKUP("AMLA_VR_AML.04.11_C0060_01",$A:$I,9,0)&lt;&gt;"OK",CHAR(10)&amp;VLOOKUP("AMLA_VR_AML.04.11_C0060_01",$A:$I,9,0),"")&amp;IF(VLOOKUP("AMLA_VR_AML.04.11_C0060_02",$A:$I,9,0)&lt;&gt;"OK",CHAR(10)&amp;VLOOKUP("AMLA_VR_AML.04.11_C0060_02",$A:$I,9,0),""),2,3000))</f>
        <v>OK</v>
      </c>
      <c r="K392" s="158" t="s">
        <v>1775</v>
      </c>
    </row>
    <row r="393" spans="1:11">
      <c r="A393" s="159" t="str">
        <f>"AMLA_VR_" &amp; B393 &amp; "_" &amp; C393 &amp; "_" &amp; TEXT(COUNTIFS($B$2:B393, B393, $C$2:C393, C393), "00")</f>
        <v>AMLA_VR_AML.04.11_C0060_02</v>
      </c>
      <c r="B393" s="160" t="s">
        <v>289</v>
      </c>
      <c r="C393" s="160" t="s">
        <v>86</v>
      </c>
      <c r="D393" s="160" t="s">
        <v>1554</v>
      </c>
      <c r="E393" s="160" t="str" cm="1">
        <f t="array" aca="1" ref="E393" ca="1">IF(C393="", INDIRECT("'"&amp;B393&amp;"'!B3"), INDEX(INDIRECT("'"&amp;B393&amp;"'!5:5"), COLUMN(INDIRECT("'"&amp;B393&amp;"'!"&amp;D393))))</f>
        <v>Open-ended Funds - Number</v>
      </c>
      <c r="F393" s="160" t="s">
        <v>1776</v>
      </c>
      <c r="G393" s="160" t="s">
        <v>1773</v>
      </c>
      <c r="H393" s="160" t="s">
        <v>1816</v>
      </c>
      <c r="I393" s="160" t="str">
        <f>IF(TRIM(SUBSTITUTE('AML.04.11'!$G$11&amp;"",CHAR(160),""))="","OK",IF(OR(NOT(ISNUMBER('AML.04.11'!$G$11)),IFERROR(INT('AML.04.11'!$G$11)&lt;&gt;'AML.04.11'!$G$11,TRUE)),$G393&amp;": "&amp;$H393,"OK"))</f>
        <v>OK</v>
      </c>
      <c r="J393" s="57" t="str">
        <f>IF(LEN(IF(VLOOKUP("AMLA_VR_AML.04.11_C0060_01",$A:$I,9,0)&lt;&gt;"OK",CHAR(10)&amp;VLOOKUP("AMLA_VR_AML.04.11_C0060_01",$A:$I,9,0),"")&amp;IF(VLOOKUP("AMLA_VR_AML.04.11_C0060_02",$A:$I,9,0)&lt;&gt;"OK",CHAR(10)&amp;VLOOKUP("AMLA_VR_AML.04.11_C0060_02",$A:$I,9,0),""))=0,"OK",MID(IF(VLOOKUP("AMLA_VR_AML.04.11_C0060_01",$A:$I,9,0)&lt;&gt;"OK",CHAR(10)&amp;VLOOKUP("AMLA_VR_AML.04.11_C0060_01",$A:$I,9,0),"")&amp;IF(VLOOKUP("AMLA_VR_AML.04.11_C0060_02",$A:$I,9,0)&lt;&gt;"OK",CHAR(10)&amp;VLOOKUP("AMLA_VR_AML.04.11_C0060_02",$A:$I,9,0),""),2,3000))</f>
        <v>OK</v>
      </c>
      <c r="K393" s="161" t="s">
        <v>1775</v>
      </c>
    </row>
    <row r="394" spans="1:11">
      <c r="A394" s="159" t="str">
        <f>"AMLA_VR_" &amp; B394 &amp; "_" &amp; C394 &amp; "_" &amp; TEXT(COUNTIFS($B$2:B394, B394, $C$2:C394, C394), "00")</f>
        <v>AMLA_VR_AML.04.11_C0070_01</v>
      </c>
      <c r="B394" s="160" t="s">
        <v>289</v>
      </c>
      <c r="C394" s="160" t="s">
        <v>87</v>
      </c>
      <c r="D394" s="160" t="s">
        <v>1555</v>
      </c>
      <c r="E394" s="160" t="str" cm="1">
        <f t="array" aca="1" ref="E394" ca="1">IF(C394="", INDIRECT("'"&amp;B394&amp;"'!B3"), INDEX(INDIRECT("'"&amp;B394&amp;"'!5:5"), COLUMN(INDIRECT("'"&amp;B394&amp;"'!"&amp;D394))))</f>
        <v>Closed-ended Funds - Number</v>
      </c>
      <c r="F394" s="160" t="s">
        <v>1772</v>
      </c>
      <c r="G394" s="160" t="s">
        <v>1773</v>
      </c>
      <c r="H394" s="160" t="s">
        <v>1824</v>
      </c>
      <c r="I394" s="160" t="str">
        <f>IF('AML.04.11'!$H$11&lt;0, $G394 &amp; ": " &amp; $H394, "OK")</f>
        <v>OK</v>
      </c>
      <c r="J394" s="57" t="str">
        <f>IF(LEN(IF(VLOOKUP("AMLA_VR_AML.04.11_C0070_01",$A:$I,9,0)&lt;&gt;"OK",CHAR(10)&amp;VLOOKUP("AMLA_VR_AML.04.11_C0070_01",$A:$I,9,0),"")&amp;IF(VLOOKUP("AMLA_VR_AML.04.11_C0070_02",$A:$I,9,0)&lt;&gt;"OK",CHAR(10)&amp;VLOOKUP("AMLA_VR_AML.04.11_C0070_02",$A:$I,9,0),""))=0,"OK",MID(IF(VLOOKUP("AMLA_VR_AML.04.11_C0070_01",$A:$I,9,0)&lt;&gt;"OK",CHAR(10)&amp;VLOOKUP("AMLA_VR_AML.04.11_C0070_01",$A:$I,9,0),"")&amp;IF(VLOOKUP("AMLA_VR_AML.04.11_C0070_02",$A:$I,9,0)&lt;&gt;"OK",CHAR(10)&amp;VLOOKUP("AMLA_VR_AML.04.11_C0070_02",$A:$I,9,0),""),2,3000))</f>
        <v>OK</v>
      </c>
      <c r="K394" s="161" t="s">
        <v>1775</v>
      </c>
    </row>
    <row r="395" spans="1:11">
      <c r="A395" s="159" t="str">
        <f>"AMLA_VR_" &amp; B395 &amp; "_" &amp; C395 &amp; "_" &amp; TEXT(COUNTIFS($B$2:B395, B395, $C$2:C395, C395), "00")</f>
        <v>AMLA_VR_AML.04.11_C0070_02</v>
      </c>
      <c r="B395" s="157" t="s">
        <v>289</v>
      </c>
      <c r="C395" s="157" t="s">
        <v>87</v>
      </c>
      <c r="D395" s="157" t="s">
        <v>1555</v>
      </c>
      <c r="E395" s="160" t="str" cm="1">
        <f t="array" aca="1" ref="E395" ca="1">IF(C395="", INDIRECT("'"&amp;B395&amp;"'!B3"), INDEX(INDIRECT("'"&amp;B395&amp;"'!5:5"), COLUMN(INDIRECT("'"&amp;B395&amp;"'!"&amp;D395))))</f>
        <v>Closed-ended Funds - Number</v>
      </c>
      <c r="F395" s="157" t="s">
        <v>1776</v>
      </c>
      <c r="G395" s="157" t="s">
        <v>1773</v>
      </c>
      <c r="H395" s="157" t="s">
        <v>1816</v>
      </c>
      <c r="I395" s="157" t="str">
        <f>IF(TRIM(SUBSTITUTE('AML.04.11'!$H$11&amp;"",CHAR(160),""))="","OK",IF(OR(NOT(ISNUMBER('AML.04.11'!$H$11)),IFERROR(INT('AML.04.11'!$H$11)&lt;&gt;'AML.04.11'!$H$11,TRUE)),$G395&amp;": "&amp;$H395,"OK"))</f>
        <v>OK</v>
      </c>
      <c r="J395" s="171" t="str">
        <f>IF(LEN(IF(VLOOKUP("AMLA_VR_AML.04.11_C0070_01",$A:$I,9,0)&lt;&gt;"OK",CHAR(10)&amp;VLOOKUP("AMLA_VR_AML.04.11_C0070_01",$A:$I,9,0),"")&amp;IF(VLOOKUP("AMLA_VR_AML.04.11_C0070_02",$A:$I,9,0)&lt;&gt;"OK",CHAR(10)&amp;VLOOKUP("AMLA_VR_AML.04.11_C0070_02",$A:$I,9,0),""))=0,"OK",MID(IF(VLOOKUP("AMLA_VR_AML.04.11_C0070_01",$A:$I,9,0)&lt;&gt;"OK",CHAR(10)&amp;VLOOKUP("AMLA_VR_AML.04.11_C0070_01",$A:$I,9,0),"")&amp;IF(VLOOKUP("AMLA_VR_AML.04.11_C0070_02",$A:$I,9,0)&lt;&gt;"OK",CHAR(10)&amp;VLOOKUP("AMLA_VR_AML.04.11_C0070_02",$A:$I,9,0),""),2,3000))</f>
        <v>OK</v>
      </c>
      <c r="K395" s="158" t="s">
        <v>1775</v>
      </c>
    </row>
    <row r="396" spans="1:11">
      <c r="A396" s="159" t="str">
        <f>"AMLA_VR_" &amp; B396 &amp; "_" &amp; C396 &amp; "_" &amp; TEXT(COUNTIFS($B$2:B396, B396, $C$2:C396, C396), "00")</f>
        <v>AMLA_VR_AML.04.11_C0080_01</v>
      </c>
      <c r="B396" s="157" t="s">
        <v>289</v>
      </c>
      <c r="C396" s="157" t="s">
        <v>88</v>
      </c>
      <c r="D396" s="157" t="s">
        <v>1556</v>
      </c>
      <c r="E396" s="160" t="str" cm="1">
        <f t="array" aca="1" ref="E396" ca="1">IF(C396="", INDIRECT("'"&amp;B396&amp;"'!B3"), INDEX(INDIRECT("'"&amp;B396&amp;"'!5:5"), COLUMN(INDIRECT("'"&amp;B396&amp;"'!"&amp;D396))))</f>
        <v>Management of AIFs - Total AUM</v>
      </c>
      <c r="F396" s="157" t="s">
        <v>1772</v>
      </c>
      <c r="G396" s="157" t="s">
        <v>1773</v>
      </c>
      <c r="H396" s="157" t="s">
        <v>1825</v>
      </c>
      <c r="I396" s="157" t="str">
        <f>IF('AML.04.11'!$I$11&lt;0, $G396 &amp; ": " &amp; $H396, "OK")</f>
        <v>OK</v>
      </c>
      <c r="J396" s="171" t="str">
        <f>IF(LEN(IF(VLOOKUP("AMLA_VR_AML.04.11_C0080_01",$A:$I,9,0)&lt;&gt;"OK",CHAR(10)&amp;VLOOKUP("AMLA_VR_AML.04.11_C0080_01",$A:$I,9,0),"")&amp;IF(VLOOKUP("AMLA_VR_AML.04.11_C0080_02",$A:$I,9,0)&lt;&gt;"OK",CHAR(10)&amp;VLOOKUP("AMLA_VR_AML.04.11_C0080_02",$A:$I,9,0),""))=0,"OK",MID(IF(VLOOKUP("AMLA_VR_AML.04.11_C0080_01",$A:$I,9,0)&lt;&gt;"OK",CHAR(10)&amp;VLOOKUP("AMLA_VR_AML.04.11_C0080_01",$A:$I,9,0),"")&amp;IF(VLOOKUP("AMLA_VR_AML.04.11_C0080_02",$A:$I,9,0)&lt;&gt;"OK",CHAR(10)&amp;VLOOKUP("AMLA_VR_AML.04.11_C0080_02",$A:$I,9,0),""),2,3000))</f>
        <v>OK</v>
      </c>
      <c r="K396" s="158" t="s">
        <v>1775</v>
      </c>
    </row>
    <row r="397" spans="1:11">
      <c r="A397" s="159" t="str">
        <f>"AMLA_VR_" &amp; B397 &amp; "_" &amp; C397 &amp; "_" &amp; TEXT(COUNTIFS($B$2:B397, B397, $C$2:C397, C397), "00")</f>
        <v>AMLA_VR_AML.04.11_C0080_02</v>
      </c>
      <c r="B397" s="160" t="s">
        <v>289</v>
      </c>
      <c r="C397" s="160" t="s">
        <v>88</v>
      </c>
      <c r="D397" s="160" t="s">
        <v>1556</v>
      </c>
      <c r="E397" s="160" t="str" cm="1">
        <f t="array" aca="1" ref="E397" ca="1">IF(C397="", INDIRECT("'"&amp;B397&amp;"'!B3"), INDEX(INDIRECT("'"&amp;B397&amp;"'!5:5"), COLUMN(INDIRECT("'"&amp;B397&amp;"'!"&amp;D397))))</f>
        <v>Management of AIFs - Total AUM</v>
      </c>
      <c r="F397" s="160" t="s">
        <v>1776</v>
      </c>
      <c r="G397" s="160" t="s">
        <v>1773</v>
      </c>
      <c r="H397" s="160" t="s">
        <v>1837</v>
      </c>
      <c r="I397" s="160" t="str">
        <f>IF(TRIM(SUBSTITUTE('AML.04.11'!$I$11&amp;"",CHAR(160),""))="","OK",IF(NOT(ISNUMBER('AML.04.11'!$I$11)),$G397&amp;": "&amp;$H397,"OK"))</f>
        <v>OK</v>
      </c>
      <c r="J397" s="57" t="str">
        <f>IF(LEN(IF(VLOOKUP("AMLA_VR_AML.04.11_C0080_01",$A:$I,9,0)&lt;&gt;"OK",CHAR(10)&amp;VLOOKUP("AMLA_VR_AML.04.11_C0080_01",$A:$I,9,0),"")&amp;IF(VLOOKUP("AMLA_VR_AML.04.11_C0080_02",$A:$I,9,0)&lt;&gt;"OK",CHAR(10)&amp;VLOOKUP("AMLA_VR_AML.04.11_C0080_02",$A:$I,9,0),""))=0,"OK",MID(IF(VLOOKUP("AMLA_VR_AML.04.11_C0080_01",$A:$I,9,0)&lt;&gt;"OK",CHAR(10)&amp;VLOOKUP("AMLA_VR_AML.04.11_C0080_01",$A:$I,9,0),"")&amp;IF(VLOOKUP("AMLA_VR_AML.04.11_C0080_02",$A:$I,9,0)&lt;&gt;"OK",CHAR(10)&amp;VLOOKUP("AMLA_VR_AML.04.11_C0080_02",$A:$I,9,0),""),2,3000))</f>
        <v>OK</v>
      </c>
      <c r="K397" s="161" t="s">
        <v>1775</v>
      </c>
    </row>
    <row r="398" spans="1:11">
      <c r="A398" s="159" t="str">
        <f>"AMLA_VR_" &amp; B398 &amp; "_" &amp; C398 &amp; "_" &amp; TEXT(COUNTIFS($B$2:B398, B398, $C$2:C398, C398), "00")</f>
        <v>AMLA_VR_AML.04.11_C0090_01</v>
      </c>
      <c r="B398" s="160" t="s">
        <v>289</v>
      </c>
      <c r="C398" s="160" t="s">
        <v>89</v>
      </c>
      <c r="D398" s="160" t="s">
        <v>1557</v>
      </c>
      <c r="E398" s="160" t="str" cm="1">
        <f t="array" aca="1" ref="E398" ca="1">IF(C398="", INDIRECT("'"&amp;B398&amp;"'!B3"), INDEX(INDIRECT("'"&amp;B398&amp;"'!5:5"), COLUMN(INDIRECT("'"&amp;B398&amp;"'!"&amp;D398))))</f>
        <v>Management of AIFs - Total AUM in unlisted assets</v>
      </c>
      <c r="F398" s="160" t="s">
        <v>1772</v>
      </c>
      <c r="G398" s="160" t="s">
        <v>1773</v>
      </c>
      <c r="H398" s="160" t="s">
        <v>1826</v>
      </c>
      <c r="I398" s="160" t="str">
        <f>IF('AML.04.11'!$J$11&lt;0, $G398 &amp; ": " &amp; $H398, "OK")</f>
        <v>OK</v>
      </c>
      <c r="J398" s="57" t="str">
        <f>IF(LEN(IF(VLOOKUP("AMLA_VR_AML.04.11_C0090_01",$A:$I,9,0)&lt;&gt;"OK",CHAR(10)&amp;VLOOKUP("AMLA_VR_AML.04.11_C0090_01",$A:$I,9,0),"")&amp;IF(VLOOKUP("AMLA_VR_AML.04.11_C0090_02",$A:$I,9,0)&lt;&gt;"OK",CHAR(10)&amp;VLOOKUP("AMLA_VR_AML.04.11_C0090_02",$A:$I,9,0),""))=0,"OK",MID(IF(VLOOKUP("AMLA_VR_AML.04.11_C0090_01",$A:$I,9,0)&lt;&gt;"OK",CHAR(10)&amp;VLOOKUP("AMLA_VR_AML.04.11_C0090_01",$A:$I,9,0),"")&amp;IF(VLOOKUP("AMLA_VR_AML.04.11_C0090_02",$A:$I,9,0)&lt;&gt;"OK",CHAR(10)&amp;VLOOKUP("AMLA_VR_AML.04.11_C0090_02",$A:$I,9,0),""),2,3000))</f>
        <v>OK</v>
      </c>
      <c r="K398" s="161" t="s">
        <v>1775</v>
      </c>
    </row>
    <row r="399" spans="1:11">
      <c r="A399" s="159" t="str">
        <f>"AMLA_VR_" &amp; B399 &amp; "_" &amp; C399 &amp; "_" &amp; TEXT(COUNTIFS($B$2:B399, B399, $C$2:C399, C399), "00")</f>
        <v>AMLA_VR_AML.04.11_C0090_02</v>
      </c>
      <c r="B399" s="157" t="s">
        <v>289</v>
      </c>
      <c r="C399" s="157" t="s">
        <v>89</v>
      </c>
      <c r="D399" s="157" t="s">
        <v>1557</v>
      </c>
      <c r="E399" s="160" t="str" cm="1">
        <f t="array" aca="1" ref="E399" ca="1">IF(C399="", INDIRECT("'"&amp;B399&amp;"'!B3"), INDEX(INDIRECT("'"&amp;B399&amp;"'!5:5"), COLUMN(INDIRECT("'"&amp;B399&amp;"'!"&amp;D399))))</f>
        <v>Management of AIFs - Total AUM in unlisted assets</v>
      </c>
      <c r="F399" s="157" t="s">
        <v>1776</v>
      </c>
      <c r="G399" s="157" t="s">
        <v>1773</v>
      </c>
      <c r="H399" s="157" t="s">
        <v>1837</v>
      </c>
      <c r="I399" s="157" t="str">
        <f>IF(TRIM(SUBSTITUTE('AML.04.11'!$J$11&amp;"",CHAR(160),""))="","OK",IF(NOT(ISNUMBER('AML.04.11'!$J$11)),$G399&amp;": "&amp;$H399,"OK"))</f>
        <v>OK</v>
      </c>
      <c r="J399" s="171" t="str">
        <f>IF(LEN(IF(VLOOKUP("AMLA_VR_AML.04.11_C0090_01",$A:$I,9,0)&lt;&gt;"OK",CHAR(10)&amp;VLOOKUP("AMLA_VR_AML.04.11_C0090_01",$A:$I,9,0),"")&amp;IF(VLOOKUP("AMLA_VR_AML.04.11_C0090_02",$A:$I,9,0)&lt;&gt;"OK",CHAR(10)&amp;VLOOKUP("AMLA_VR_AML.04.11_C0090_02",$A:$I,9,0),""))=0,"OK",MID(IF(VLOOKUP("AMLA_VR_AML.04.11_C0090_01",$A:$I,9,0)&lt;&gt;"OK",CHAR(10)&amp;VLOOKUP("AMLA_VR_AML.04.11_C0090_01",$A:$I,9,0),"")&amp;IF(VLOOKUP("AMLA_VR_AML.04.11_C0090_02",$A:$I,9,0)&lt;&gt;"OK",CHAR(10)&amp;VLOOKUP("AMLA_VR_AML.04.11_C0090_02",$A:$I,9,0),""),2,3000))</f>
        <v>OK</v>
      </c>
      <c r="K399" s="158" t="s">
        <v>1775</v>
      </c>
    </row>
    <row r="400" spans="1:11">
      <c r="A400" s="159" t="str">
        <f>"AMLA_VR_" &amp; B400 &amp; "_" &amp; C400 &amp; "_" &amp; TEXT(COUNTIFS($B$2:B400, B400, $C$2:C400, C400), "00")</f>
        <v>AMLA_VR_AML.04.12_C0010_01</v>
      </c>
      <c r="B400" s="157" t="s">
        <v>300</v>
      </c>
      <c r="C400" s="157" t="s">
        <v>81</v>
      </c>
      <c r="D400" s="157" t="s">
        <v>1549</v>
      </c>
      <c r="E400" s="160" t="str" cm="1">
        <f t="array" aca="1" ref="E400" ca="1">IF(C400="", INDIRECT("'"&amp;B400&amp;"'!B3"), INDEX(INDIRECT("'"&amp;B400&amp;"'!5:5"), COLUMN(INDIRECT("'"&amp;B400&amp;"'!"&amp;D400))))</f>
        <v>Customers Using Safe Deposit Boxes</v>
      </c>
      <c r="F400" s="157" t="s">
        <v>1772</v>
      </c>
      <c r="G400" s="157" t="s">
        <v>1773</v>
      </c>
      <c r="H400" s="157" t="s">
        <v>1815</v>
      </c>
      <c r="I400" s="157" t="str">
        <f>IF('AML.04.12'!$B$11&lt;0, $G400 &amp; ": " &amp; $H400, "OK")</f>
        <v>OK</v>
      </c>
      <c r="J400" s="171" t="str">
        <f>IF(LEN(IF(VLOOKUP("AMLA_VR_AML.04.12_C0010_01",$A:$I,9,0)&lt;&gt;"OK",CHAR(10)&amp;VLOOKUP("AMLA_VR_AML.04.12_C0010_01",$A:$I,9,0),"")&amp;IF(VLOOKUP("AMLA_VR_AML.04.12_C0010_02",$A:$I,9,0)&lt;&gt;"OK",CHAR(10)&amp;VLOOKUP("AMLA_VR_AML.04.12_C0010_02",$A:$I,9,0),"")&amp;IF(VLOOKUP("AMLA_VR_AML.04.12_C0010_03",$A:$I,9,0)&lt;&gt;"OK",CHAR(10)&amp;VLOOKUP("AMLA_VR_AML.04.12_C0010_03",$A:$I,9,0),""))=0,"OK",MID(IF(VLOOKUP("AMLA_VR_AML.04.12_C0010_01",$A:$I,9,0)&lt;&gt;"OK",CHAR(10)&amp;VLOOKUP("AMLA_VR_AML.04.12_C0010_01",$A:$I,9,0),"")&amp;IF(VLOOKUP("AMLA_VR_AML.04.12_C0010_02",$A:$I,9,0)&lt;&gt;"OK",CHAR(10)&amp;VLOOKUP("AMLA_VR_AML.04.12_C0010_02",$A:$I,9,0),"")&amp;IF(VLOOKUP("AMLA_VR_AML.04.12_C0010_03",$A:$I,9,0)&lt;&gt;"OK",CHAR(10)&amp;VLOOKUP("AMLA_VR_AML.04.12_C0010_03",$A:$I,9,0),""),2,3000))</f>
        <v>OK</v>
      </c>
      <c r="K400" s="158" t="s">
        <v>1775</v>
      </c>
    </row>
    <row r="401" spans="1:11">
      <c r="A401" s="159" t="str">
        <f>"AMLA_VR_" &amp; B401 &amp; "_" &amp; C401 &amp; "_" &amp; TEXT(COUNTIFS($B$2:B401, B401, $C$2:C401, C401), "00")</f>
        <v>AMLA_VR_AML.04.12_C0010_02</v>
      </c>
      <c r="B401" s="160" t="s">
        <v>300</v>
      </c>
      <c r="C401" s="160" t="s">
        <v>81</v>
      </c>
      <c r="D401" s="160" t="s">
        <v>1549</v>
      </c>
      <c r="E401" s="160" t="str" cm="1">
        <f t="array" aca="1" ref="E401" ca="1">IF(C401="", INDIRECT("'"&amp;B401&amp;"'!B3"), INDEX(INDIRECT("'"&amp;B401&amp;"'!5:5"), COLUMN(INDIRECT("'"&amp;B401&amp;"'!"&amp;D401))))</f>
        <v>Customers Using Safe Deposit Boxes</v>
      </c>
      <c r="F401" s="160" t="s">
        <v>1772</v>
      </c>
      <c r="G401" s="160" t="s">
        <v>1773</v>
      </c>
      <c r="H401" s="160" t="s">
        <v>1861</v>
      </c>
      <c r="I401" s="160" t="str">
        <f>IF('AML.04.12'!$B$11 &gt; 'AML.02.01'!$B$11, $G401 &amp; ": " &amp; $H401, "OK")</f>
        <v>OK</v>
      </c>
      <c r="J401" s="57" t="str">
        <f>IF(LEN(IF(VLOOKUP("AMLA_VR_AML.04.12_C0010_01",$A:$I,9,0)&lt;&gt;"OK",CHAR(10)&amp;VLOOKUP("AMLA_VR_AML.04.12_C0010_01",$A:$I,9,0),"")&amp;IF(VLOOKUP("AMLA_VR_AML.04.12_C0010_02",$A:$I,9,0)&lt;&gt;"OK",CHAR(10)&amp;VLOOKUP("AMLA_VR_AML.04.12_C0010_02",$A:$I,9,0),"")&amp;IF(VLOOKUP("AMLA_VR_AML.04.12_C0010_03",$A:$I,9,0)&lt;&gt;"OK",CHAR(10)&amp;VLOOKUP("AMLA_VR_AML.04.12_C0010_03",$A:$I,9,0),""))=0,"OK",MID(IF(VLOOKUP("AMLA_VR_AML.04.12_C0010_01",$A:$I,9,0)&lt;&gt;"OK",CHAR(10)&amp;VLOOKUP("AMLA_VR_AML.04.12_C0010_01",$A:$I,9,0),"")&amp;IF(VLOOKUP("AMLA_VR_AML.04.12_C0010_02",$A:$I,9,0)&lt;&gt;"OK",CHAR(10)&amp;VLOOKUP("AMLA_VR_AML.04.12_C0010_02",$A:$I,9,0),"")&amp;IF(VLOOKUP("AMLA_VR_AML.04.12_C0010_03",$A:$I,9,0)&lt;&gt;"OK",CHAR(10)&amp;VLOOKUP("AMLA_VR_AML.04.12_C0010_03",$A:$I,9,0),""),2,3000))</f>
        <v>OK</v>
      </c>
      <c r="K401" s="161" t="s">
        <v>1775</v>
      </c>
    </row>
    <row r="402" spans="1:11">
      <c r="A402" s="159" t="str">
        <f>"AMLA_VR_" &amp; B402 &amp; "_" &amp; C402 &amp; "_" &amp; TEXT(COUNTIFS($B$2:B402, B402, $C$2:C402, C402), "00")</f>
        <v>AMLA_VR_AML.04.12_C0010_03</v>
      </c>
      <c r="B402" s="160" t="s">
        <v>300</v>
      </c>
      <c r="C402" s="160" t="s">
        <v>81</v>
      </c>
      <c r="D402" s="160" t="s">
        <v>1549</v>
      </c>
      <c r="E402" s="160" t="str" cm="1">
        <f t="array" aca="1" ref="E402" ca="1">IF(C402="", INDIRECT("'"&amp;B402&amp;"'!B3"), INDEX(INDIRECT("'"&amp;B402&amp;"'!5:5"), COLUMN(INDIRECT("'"&amp;B402&amp;"'!"&amp;D402))))</f>
        <v>Customers Using Safe Deposit Boxes</v>
      </c>
      <c r="F402" s="160" t="s">
        <v>1776</v>
      </c>
      <c r="G402" s="160" t="s">
        <v>1773</v>
      </c>
      <c r="H402" s="160" t="s">
        <v>1816</v>
      </c>
      <c r="I402" s="160" t="str">
        <f>IF(TRIM(SUBSTITUTE('AML.04.12'!$B$11&amp;"",CHAR(160),""))="","OK",IF(OR(NOT(ISNUMBER('AML.04.12'!$B$11)),IFERROR(INT('AML.04.12'!$B$11)&lt;&gt;'AML.04.12'!$B$11,TRUE)),$G402&amp;": "&amp;$H402,"OK"))</f>
        <v>OK</v>
      </c>
      <c r="J402" s="57" t="str">
        <f>IF(LEN(IF(VLOOKUP("AMLA_VR_AML.04.12_C0010_01",$A:$I,9,0)&lt;&gt;"OK",CHAR(10)&amp;VLOOKUP("AMLA_VR_AML.04.12_C0010_01",$A:$I,9,0),"")&amp;IF(VLOOKUP("AMLA_VR_AML.04.12_C0010_02",$A:$I,9,0)&lt;&gt;"OK",CHAR(10)&amp;VLOOKUP("AMLA_VR_AML.04.12_C0010_02",$A:$I,9,0),"")&amp;IF(VLOOKUP("AMLA_VR_AML.04.12_C0010_03",$A:$I,9,0)&lt;&gt;"OK",CHAR(10)&amp;VLOOKUP("AMLA_VR_AML.04.12_C0010_03",$A:$I,9,0),""))=0,"OK",MID(IF(VLOOKUP("AMLA_VR_AML.04.12_C0010_01",$A:$I,9,0)&lt;&gt;"OK",CHAR(10)&amp;VLOOKUP("AMLA_VR_AML.04.12_C0010_01",$A:$I,9,0),"")&amp;IF(VLOOKUP("AMLA_VR_AML.04.12_C0010_02",$A:$I,9,0)&lt;&gt;"OK",CHAR(10)&amp;VLOOKUP("AMLA_VR_AML.04.12_C0010_02",$A:$I,9,0),"")&amp;IF(VLOOKUP("AMLA_VR_AML.04.12_C0010_03",$A:$I,9,0)&lt;&gt;"OK",CHAR(10)&amp;VLOOKUP("AMLA_VR_AML.04.12_C0010_03",$A:$I,9,0),""),2,3000))</f>
        <v>OK</v>
      </c>
      <c r="K402" s="161" t="s">
        <v>1775</v>
      </c>
    </row>
    <row r="403" spans="1:11">
      <c r="A403" s="159" t="str">
        <f>"AMLA_VR_" &amp; B403 &amp; "_" &amp; C403 &amp; "_" &amp; TEXT(COUNTIFS($B$2:B403, B403, $C$2:C403, C403), "00")</f>
        <v>AMLA_VR_AML.04.13_C0010_01</v>
      </c>
      <c r="B403" s="157" t="s">
        <v>303</v>
      </c>
      <c r="C403" s="157" t="s">
        <v>81</v>
      </c>
      <c r="D403" s="157" t="s">
        <v>1549</v>
      </c>
      <c r="E403" s="160" t="str" cm="1">
        <f t="array" aca="1" ref="E403" ca="1">IF(C403="", INDIRECT("'"&amp;B403&amp;"'!B3"), INDEX(INDIRECT("'"&amp;B403&amp;"'!5:5"), COLUMN(INDIRECT("'"&amp;B403&amp;"'!"&amp;D403))))</f>
        <v>Funding Projects - Value</v>
      </c>
      <c r="F403" s="157" t="s">
        <v>1772</v>
      </c>
      <c r="G403" s="157" t="s">
        <v>1773</v>
      </c>
      <c r="H403" s="157" t="s">
        <v>1815</v>
      </c>
      <c r="I403" s="157" t="str">
        <f>IF('AML.04.13'!$B$11&lt;0, $G403 &amp; ": " &amp; $H403, "OK")</f>
        <v>OK</v>
      </c>
      <c r="J403" s="171" t="str">
        <f>IF(LEN(IF(VLOOKUP("AMLA_VR_AML.04.13_C0010_01",$A:$I,9,0)&lt;&gt;"OK",CHAR(10)&amp;VLOOKUP("AMLA_VR_AML.04.13_C0010_01",$A:$I,9,0),"")&amp;IF(VLOOKUP("AMLA_VR_AML.04.13_C0010_02",$A:$I,9,0)&lt;&gt;"OK",CHAR(10)&amp;VLOOKUP("AMLA_VR_AML.04.13_C0010_02",$A:$I,9,0),"")&amp;IF(VLOOKUP("AMLA_VR_AML.04.13_C0010_03",$A:$I,9,0)&lt;&gt;"OK",CHAR(10)&amp;VLOOKUP("AMLA_VR_AML.04.13_C0010_03",$A:$I,9,0),""))=0,"OK",MID(IF(VLOOKUP("AMLA_VR_AML.04.13_C0010_01",$A:$I,9,0)&lt;&gt;"OK",CHAR(10)&amp;VLOOKUP("AMLA_VR_AML.04.13_C0010_01",$A:$I,9,0),"")&amp;IF(VLOOKUP("AMLA_VR_AML.04.13_C0010_02",$A:$I,9,0)&lt;&gt;"OK",CHAR(10)&amp;VLOOKUP("AMLA_VR_AML.04.13_C0010_02",$A:$I,9,0),"")&amp;IF(VLOOKUP("AMLA_VR_AML.04.13_C0010_03",$A:$I,9,0)&lt;&gt;"OK",CHAR(10)&amp;VLOOKUP("AMLA_VR_AML.04.13_C0010_03",$A:$I,9,0),""),2,3000))</f>
        <v>OK</v>
      </c>
      <c r="K403" s="158" t="s">
        <v>1775</v>
      </c>
    </row>
    <row r="404" spans="1:11">
      <c r="A404" s="159" t="str">
        <f>"AMLA_VR_" &amp; B404 &amp; "_" &amp; C404 &amp; "_" &amp; TEXT(COUNTIFS($B$2:B404, B404, $C$2:C404, C404), "00")</f>
        <v>AMLA_VR_AML.04.13_C0010_02</v>
      </c>
      <c r="B404" s="157" t="s">
        <v>303</v>
      </c>
      <c r="C404" s="157" t="s">
        <v>81</v>
      </c>
      <c r="D404" s="157" t="s">
        <v>1549</v>
      </c>
      <c r="E404" s="160" t="str" cm="1">
        <f t="array" aca="1" ref="E404" ca="1">IF(C404="", INDIRECT("'"&amp;B404&amp;"'!B3"), INDEX(INDIRECT("'"&amp;B404&amp;"'!5:5"), COLUMN(INDIRECT("'"&amp;B404&amp;"'!"&amp;D404))))</f>
        <v>Funding Projects - Value</v>
      </c>
      <c r="F404" s="157" t="s">
        <v>1776</v>
      </c>
      <c r="G404" s="157" t="s">
        <v>1773</v>
      </c>
      <c r="H404" s="157" t="s">
        <v>1837</v>
      </c>
      <c r="I404" s="157" t="str">
        <f>IF(TRIM(SUBSTITUTE('AML.04.13'!$B$11&amp;"",CHAR(160),""))="","OK",IF(NOT(ISNUMBER('AML.04.13'!$B$11)),$G404&amp;": "&amp;$H404,"OK"))</f>
        <v>OK</v>
      </c>
      <c r="J404" s="171" t="str">
        <f>IF(LEN(IF(VLOOKUP("AMLA_VR_AML.04.13_C0010_01",$A:$I,9,0)&lt;&gt;"OK",CHAR(10)&amp;VLOOKUP("AMLA_VR_AML.04.13_C0010_01",$A:$I,9,0),"")&amp;IF(VLOOKUP("AMLA_VR_AML.04.13_C0010_02",$A:$I,9,0)&lt;&gt;"OK",CHAR(10)&amp;VLOOKUP("AMLA_VR_AML.04.13_C0010_02",$A:$I,9,0),"")&amp;IF(VLOOKUP("AMLA_VR_AML.04.13_C0010_03",$A:$I,9,0)&lt;&gt;"OK",CHAR(10)&amp;VLOOKUP("AMLA_VR_AML.04.13_C0010_03",$A:$I,9,0),""))=0,"OK",MID(IF(VLOOKUP("AMLA_VR_AML.04.13_C0010_01",$A:$I,9,0)&lt;&gt;"OK",CHAR(10)&amp;VLOOKUP("AMLA_VR_AML.04.13_C0010_01",$A:$I,9,0),"")&amp;IF(VLOOKUP("AMLA_VR_AML.04.13_C0010_02",$A:$I,9,0)&lt;&gt;"OK",CHAR(10)&amp;VLOOKUP("AMLA_VR_AML.04.13_C0010_02",$A:$I,9,0),"")&amp;IF(VLOOKUP("AMLA_VR_AML.04.13_C0010_03",$A:$I,9,0)&lt;&gt;"OK",CHAR(10)&amp;VLOOKUP("AMLA_VR_AML.04.13_C0010_03",$A:$I,9,0),""),2,3000))</f>
        <v>OK</v>
      </c>
      <c r="K404" s="158" t="s">
        <v>1775</v>
      </c>
    </row>
    <row r="405" spans="1:11">
      <c r="A405" s="159" t="str">
        <f>"AMLA_VR_" &amp; B405 &amp; "_" &amp; C405 &amp; "_" &amp; TEXT(COUNTIFS($B$2:B405, B405, $C$2:C405, C405), "00")</f>
        <v>AMLA_VR_AML.04.13_C0010_03</v>
      </c>
      <c r="B405" s="160" t="s">
        <v>303</v>
      </c>
      <c r="C405" s="160" t="s">
        <v>81</v>
      </c>
      <c r="D405" s="160" t="s">
        <v>1549</v>
      </c>
      <c r="E405" s="160" t="str" cm="1">
        <f t="array" aca="1" ref="E405" ca="1">IF(C405="", INDIRECT("'"&amp;B405&amp;"'!B3"), INDEX(INDIRECT("'"&amp;B405&amp;"'!5:5"), COLUMN(INDIRECT("'"&amp;B405&amp;"'!"&amp;D405))))</f>
        <v>Funding Projects - Value</v>
      </c>
      <c r="F405" s="160" t="s">
        <v>1772</v>
      </c>
      <c r="G405" s="160" t="s">
        <v>1813</v>
      </c>
      <c r="H405" s="160" t="s">
        <v>1842</v>
      </c>
      <c r="I405" s="160" t="str">
        <f>IF(AND('AML.04.13'!$B$11=0, 'AML.04.13'!$C$11&gt;0), $G405 &amp; ": " &amp; $H405, "OK")</f>
        <v>OK</v>
      </c>
      <c r="J405" s="57" t="str">
        <f>IF(LEN(IF(VLOOKUP("AMLA_VR_AML.04.13_C0010_01",$A:$I,9,0)&lt;&gt;"OK",CHAR(10)&amp;VLOOKUP("AMLA_VR_AML.04.13_C0010_01",$A:$I,9,0),"")&amp;IF(VLOOKUP("AMLA_VR_AML.04.13_C0010_02",$A:$I,9,0)&lt;&gt;"OK",CHAR(10)&amp;VLOOKUP("AMLA_VR_AML.04.13_C0010_02",$A:$I,9,0),"")&amp;IF(VLOOKUP("AMLA_VR_AML.04.13_C0010_03",$A:$I,9,0)&lt;&gt;"OK",CHAR(10)&amp;VLOOKUP("AMLA_VR_AML.04.13_C0010_03",$A:$I,9,0),""))=0,"OK",MID(IF(VLOOKUP("AMLA_VR_AML.04.13_C0010_01",$A:$I,9,0)&lt;&gt;"OK",CHAR(10)&amp;VLOOKUP("AMLA_VR_AML.04.13_C0010_01",$A:$I,9,0),"")&amp;IF(VLOOKUP("AMLA_VR_AML.04.13_C0010_02",$A:$I,9,0)&lt;&gt;"OK",CHAR(10)&amp;VLOOKUP("AMLA_VR_AML.04.13_C0010_02",$A:$I,9,0),"")&amp;IF(VLOOKUP("AMLA_VR_AML.04.13_C0010_03",$A:$I,9,0)&lt;&gt;"OK",CHAR(10)&amp;VLOOKUP("AMLA_VR_AML.04.13_C0010_03",$A:$I,9,0),""),2,3000))</f>
        <v>OK</v>
      </c>
      <c r="K405" s="161" t="s">
        <v>1775</v>
      </c>
    </row>
    <row r="406" spans="1:11">
      <c r="A406" s="159" t="str">
        <f>"AMLA_VR_" &amp; B406 &amp; "_" &amp; C406 &amp; "_" &amp; TEXT(COUNTIFS($B$2:B406, B406, $C$2:C406, C406), "00")</f>
        <v>AMLA_VR_AML.04.13_C0020_01</v>
      </c>
      <c r="B406" s="157" t="s">
        <v>303</v>
      </c>
      <c r="C406" s="157" t="s">
        <v>82</v>
      </c>
      <c r="D406" s="157" t="s">
        <v>1550</v>
      </c>
      <c r="E406" s="160" t="str" cm="1">
        <f t="array" aca="1" ref="E406" ca="1">IF(C406="", INDIRECT("'"&amp;B406&amp;"'!B3"), INDEX(INDIRECT("'"&amp;B406&amp;"'!5:5"), COLUMN(INDIRECT("'"&amp;B406&amp;"'!"&amp;D406))))</f>
        <v>Projects Funded - Number</v>
      </c>
      <c r="F406" s="157" t="s">
        <v>1772</v>
      </c>
      <c r="G406" s="157" t="s">
        <v>1773</v>
      </c>
      <c r="H406" s="157" t="s">
        <v>1819</v>
      </c>
      <c r="I406" s="157" t="str">
        <f>IF('AML.04.13'!$C$11&lt;0, $G406 &amp; ": " &amp; $H406, "OK")</f>
        <v>OK</v>
      </c>
      <c r="J406" s="171" t="str">
        <f>IF(LEN(IF(VLOOKUP("AMLA_VR_AML.04.13_C0020_01",$A:$I,9,0)&lt;&gt;"OK",CHAR(10)&amp;VLOOKUP("AMLA_VR_AML.04.13_C0020_01",$A:$I,9,0),"")&amp;IF(VLOOKUP("AMLA_VR_AML.04.13_C0020_02",$A:$I,9,0)&lt;&gt;"OK",CHAR(10)&amp;VLOOKUP("AMLA_VR_AML.04.13_C0020_02",$A:$I,9,0),"")&amp;IF(VLOOKUP("AMLA_VR_AML.04.13_C0020_03",$A:$I,9,0)&lt;&gt;"OK",CHAR(10)&amp;VLOOKUP("AMLA_VR_AML.04.13_C0020_03",$A:$I,9,0),""))=0,"OK",MID(IF(VLOOKUP("AMLA_VR_AML.04.13_C0020_01",$A:$I,9,0)&lt;&gt;"OK",CHAR(10)&amp;VLOOKUP("AMLA_VR_AML.04.13_C0020_01",$A:$I,9,0),"")&amp;IF(VLOOKUP("AMLA_VR_AML.04.13_C0020_02",$A:$I,9,0)&lt;&gt;"OK",CHAR(10)&amp;VLOOKUP("AMLA_VR_AML.04.13_C0020_02",$A:$I,9,0),"")&amp;IF(VLOOKUP("AMLA_VR_AML.04.13_C0020_03",$A:$I,9,0)&lt;&gt;"OK",CHAR(10)&amp;VLOOKUP("AMLA_VR_AML.04.13_C0020_03",$A:$I,9,0),""),2,3000))</f>
        <v>OK</v>
      </c>
      <c r="K406" s="158" t="s">
        <v>1775</v>
      </c>
    </row>
    <row r="407" spans="1:11">
      <c r="A407" s="159" t="str">
        <f>"AMLA_VR_" &amp; B407 &amp; "_" &amp; C407 &amp; "_" &amp; TEXT(COUNTIFS($B$2:B407, B407, $C$2:C407, C407), "00")</f>
        <v>AMLA_VR_AML.04.13_C0020_02</v>
      </c>
      <c r="B407" s="160" t="s">
        <v>303</v>
      </c>
      <c r="C407" s="160" t="s">
        <v>82</v>
      </c>
      <c r="D407" s="160" t="s">
        <v>1550</v>
      </c>
      <c r="E407" s="160" t="str" cm="1">
        <f t="array" aca="1" ref="E407" ca="1">IF(C407="", INDIRECT("'"&amp;B407&amp;"'!B3"), INDEX(INDIRECT("'"&amp;B407&amp;"'!5:5"), COLUMN(INDIRECT("'"&amp;B407&amp;"'!"&amp;D407))))</f>
        <v>Projects Funded - Number</v>
      </c>
      <c r="F407" s="160" t="s">
        <v>1776</v>
      </c>
      <c r="G407" s="160" t="s">
        <v>1773</v>
      </c>
      <c r="H407" s="160" t="s">
        <v>1816</v>
      </c>
      <c r="I407" s="160" t="str">
        <f>IF(TRIM(SUBSTITUTE('AML.04.13'!$C$11&amp;"",CHAR(160),""))="","OK",IF(OR(NOT(ISNUMBER('AML.04.13'!$C$11)),IFERROR(INT('AML.04.13'!$C$11)&lt;&gt;'AML.04.13'!$C$11,TRUE)),$G407&amp;": "&amp;$H407,"OK"))</f>
        <v>OK</v>
      </c>
      <c r="J407" s="57" t="str">
        <f>IF(LEN(IF(VLOOKUP("AMLA_VR_AML.04.13_C0020_01",$A:$I,9,0)&lt;&gt;"OK",CHAR(10)&amp;VLOOKUP("AMLA_VR_AML.04.13_C0020_01",$A:$I,9,0),"")&amp;IF(VLOOKUP("AMLA_VR_AML.04.13_C0020_02",$A:$I,9,0)&lt;&gt;"OK",CHAR(10)&amp;VLOOKUP("AMLA_VR_AML.04.13_C0020_02",$A:$I,9,0),"")&amp;IF(VLOOKUP("AMLA_VR_AML.04.13_C0020_03",$A:$I,9,0)&lt;&gt;"OK",CHAR(10)&amp;VLOOKUP("AMLA_VR_AML.04.13_C0020_03",$A:$I,9,0),""))=0,"OK",MID(IF(VLOOKUP("AMLA_VR_AML.04.13_C0020_01",$A:$I,9,0)&lt;&gt;"OK",CHAR(10)&amp;VLOOKUP("AMLA_VR_AML.04.13_C0020_01",$A:$I,9,0),"")&amp;IF(VLOOKUP("AMLA_VR_AML.04.13_C0020_02",$A:$I,9,0)&lt;&gt;"OK",CHAR(10)&amp;VLOOKUP("AMLA_VR_AML.04.13_C0020_02",$A:$I,9,0),"")&amp;IF(VLOOKUP("AMLA_VR_AML.04.13_C0020_03",$A:$I,9,0)&lt;&gt;"OK",CHAR(10)&amp;VLOOKUP("AMLA_VR_AML.04.13_C0020_03",$A:$I,9,0),""),2,3000))</f>
        <v>OK</v>
      </c>
      <c r="K407" s="161" t="s">
        <v>1775</v>
      </c>
    </row>
    <row r="408" spans="1:11">
      <c r="A408" s="159" t="str">
        <f>"AMLA_VR_" &amp; B408 &amp; "_" &amp; C408 &amp; "_" &amp; TEXT(COUNTIFS($B$2:B408, B408, $C$2:C408, C408), "00")</f>
        <v>AMLA_VR_AML.04.13_C0020_03</v>
      </c>
      <c r="B408" s="160" t="s">
        <v>303</v>
      </c>
      <c r="C408" s="160" t="s">
        <v>82</v>
      </c>
      <c r="D408" s="160" t="s">
        <v>1550</v>
      </c>
      <c r="E408" s="160" t="str" cm="1">
        <f t="array" aca="1" ref="E408" ca="1">IF(C408="", INDIRECT("'"&amp;B408&amp;"'!B3"), INDEX(INDIRECT("'"&amp;B408&amp;"'!5:5"), COLUMN(INDIRECT("'"&amp;B408&amp;"'!"&amp;D408))))</f>
        <v>Projects Funded - Number</v>
      </c>
      <c r="F408" s="160" t="s">
        <v>1772</v>
      </c>
      <c r="G408" s="160" t="s">
        <v>1813</v>
      </c>
      <c r="H408" s="160" t="s">
        <v>1844</v>
      </c>
      <c r="I408" s="160" t="str">
        <f>IF(AND('AML.04.13'!$C$11=0, 'AML.04.13'!$B$11&gt;0), $G408 &amp; ": " &amp; $H408, "OK")</f>
        <v>OK</v>
      </c>
      <c r="J408" s="57" t="str">
        <f>IF(LEN(IF(VLOOKUP("AMLA_VR_AML.04.13_C0020_01",$A:$I,9,0)&lt;&gt;"OK",CHAR(10)&amp;VLOOKUP("AMLA_VR_AML.04.13_C0020_01",$A:$I,9,0),"")&amp;IF(VLOOKUP("AMLA_VR_AML.04.13_C0020_02",$A:$I,9,0)&lt;&gt;"OK",CHAR(10)&amp;VLOOKUP("AMLA_VR_AML.04.13_C0020_02",$A:$I,9,0),"")&amp;IF(VLOOKUP("AMLA_VR_AML.04.13_C0020_03",$A:$I,9,0)&lt;&gt;"OK",CHAR(10)&amp;VLOOKUP("AMLA_VR_AML.04.13_C0020_03",$A:$I,9,0),""))=0,"OK",MID(IF(VLOOKUP("AMLA_VR_AML.04.13_C0020_01",$A:$I,9,0)&lt;&gt;"OK",CHAR(10)&amp;VLOOKUP("AMLA_VR_AML.04.13_C0020_01",$A:$I,9,0),"")&amp;IF(VLOOKUP("AMLA_VR_AML.04.13_C0020_02",$A:$I,9,0)&lt;&gt;"OK",CHAR(10)&amp;VLOOKUP("AMLA_VR_AML.04.13_C0020_02",$A:$I,9,0),"")&amp;IF(VLOOKUP("AMLA_VR_AML.04.13_C0020_03",$A:$I,9,0)&lt;&gt;"OK",CHAR(10)&amp;VLOOKUP("AMLA_VR_AML.04.13_C0020_03",$A:$I,9,0),""),2,3000))</f>
        <v>OK</v>
      </c>
      <c r="K408" s="161" t="s">
        <v>1775</v>
      </c>
    </row>
    <row r="409" spans="1:11">
      <c r="A409" s="159" t="str">
        <f>"AMLA_VR_" &amp; B409 &amp; "_" &amp; C409 &amp; "_" &amp; TEXT(COUNTIFS($B$2:B409, B409, $C$2:C409, C409), "00")</f>
        <v>AMLA_VR_AML.04.13_C0030_01</v>
      </c>
      <c r="B409" s="157" t="s">
        <v>303</v>
      </c>
      <c r="C409" s="157" t="s">
        <v>83</v>
      </c>
      <c r="D409" s="157" t="s">
        <v>1551</v>
      </c>
      <c r="E409" s="160" t="str" cm="1">
        <f t="array" aca="1" ref="E409" ca="1">IF(C409="", INDIRECT("'"&amp;B409&amp;"'!B3"), INDEX(INDIRECT("'"&amp;B409&amp;"'!5:5"), COLUMN(INDIRECT("'"&amp;B409&amp;"'!"&amp;D409))))</f>
        <v>Donors from High-risk Countries</v>
      </c>
      <c r="F409" s="157" t="s">
        <v>1772</v>
      </c>
      <c r="G409" s="157" t="s">
        <v>1773</v>
      </c>
      <c r="H409" s="157" t="s">
        <v>1820</v>
      </c>
      <c r="I409" s="157" t="str">
        <f>IF('AML.04.13'!$D$11&lt;0, $G409 &amp; ": " &amp; $H409, "OK")</f>
        <v>OK</v>
      </c>
      <c r="J409" s="171" t="str">
        <f>IF(LEN(IF(VLOOKUP("AMLA_VR_AML.04.13_C0030_01",$A:$I,9,0)&lt;&gt;"OK",CHAR(10)&amp;VLOOKUP("AMLA_VR_AML.04.13_C0030_01",$A:$I,9,0),"")&amp;IF(VLOOKUP("AMLA_VR_AML.04.13_C0030_02",$A:$I,9,0)&lt;&gt;"OK",CHAR(10)&amp;VLOOKUP("AMLA_VR_AML.04.13_C0030_02",$A:$I,9,0),""))=0,"OK",MID(IF(VLOOKUP("AMLA_VR_AML.04.13_C0030_01",$A:$I,9,0)&lt;&gt;"OK",CHAR(10)&amp;VLOOKUP("AMLA_VR_AML.04.13_C0030_01",$A:$I,9,0),"")&amp;IF(VLOOKUP("AMLA_VR_AML.04.13_C0030_02",$A:$I,9,0)&lt;&gt;"OK",CHAR(10)&amp;VLOOKUP("AMLA_VR_AML.04.13_C0030_02",$A:$I,9,0),""),2,3000))</f>
        <v>OK</v>
      </c>
      <c r="K409" s="158" t="s">
        <v>1775</v>
      </c>
    </row>
    <row r="410" spans="1:11">
      <c r="A410" s="159" t="str">
        <f>"AMLA_VR_" &amp; B410 &amp; "_" &amp; C410 &amp; "_" &amp; TEXT(COUNTIFS($B$2:B410, B410, $C$2:C410, C410), "00")</f>
        <v>AMLA_VR_AML.04.13_C0030_02</v>
      </c>
      <c r="B410" s="157" t="s">
        <v>303</v>
      </c>
      <c r="C410" s="157" t="s">
        <v>83</v>
      </c>
      <c r="D410" s="157" t="s">
        <v>1551</v>
      </c>
      <c r="E410" s="160" t="str" cm="1">
        <f t="array" aca="1" ref="E410" ca="1">IF(C410="", INDIRECT("'"&amp;B410&amp;"'!B3"), INDEX(INDIRECT("'"&amp;B410&amp;"'!5:5"), COLUMN(INDIRECT("'"&amp;B410&amp;"'!"&amp;D410))))</f>
        <v>Donors from High-risk Countries</v>
      </c>
      <c r="F410" s="157" t="s">
        <v>1776</v>
      </c>
      <c r="G410" s="157" t="s">
        <v>1773</v>
      </c>
      <c r="H410" s="157" t="s">
        <v>1816</v>
      </c>
      <c r="I410" s="157" t="str">
        <f>IF(TRIM(SUBSTITUTE('AML.04.13'!$D$11&amp;"",CHAR(160),""))="","OK",IF(OR(NOT(ISNUMBER('AML.04.13'!$D$11)),IFERROR(INT('AML.04.13'!$D$11)&lt;&gt;'AML.04.13'!$D$11,TRUE)),$G410&amp;": "&amp;$H410,"OK"))</f>
        <v>OK</v>
      </c>
      <c r="J410" s="171" t="str">
        <f>IF(LEN(IF(VLOOKUP("AMLA_VR_AML.04.13_C0030_01",$A:$I,9,0)&lt;&gt;"OK",CHAR(10)&amp;VLOOKUP("AMLA_VR_AML.04.13_C0030_01",$A:$I,9,0),"")&amp;IF(VLOOKUP("AMLA_VR_AML.04.13_C0030_02",$A:$I,9,0)&lt;&gt;"OK",CHAR(10)&amp;VLOOKUP("AMLA_VR_AML.04.13_C0030_02",$A:$I,9,0),""))=0,"OK",MID(IF(VLOOKUP("AMLA_VR_AML.04.13_C0030_01",$A:$I,9,0)&lt;&gt;"OK",CHAR(10)&amp;VLOOKUP("AMLA_VR_AML.04.13_C0030_01",$A:$I,9,0),"")&amp;IF(VLOOKUP("AMLA_VR_AML.04.13_C0030_02",$A:$I,9,0)&lt;&gt;"OK",CHAR(10)&amp;VLOOKUP("AMLA_VR_AML.04.13_C0030_02",$A:$I,9,0),""),2,3000))</f>
        <v>OK</v>
      </c>
      <c r="K410" s="158" t="s">
        <v>1775</v>
      </c>
    </row>
    <row r="411" spans="1:11">
      <c r="A411" s="159" t="str">
        <f>"AMLA_VR_" &amp; B411 &amp; "_" &amp; C411 &amp; "_" &amp; TEXT(COUNTIFS($B$2:B411, B411, $C$2:C411, C411), "00")</f>
        <v>AMLA_VR_AML.04.13_C0040_01</v>
      </c>
      <c r="B411" s="160" t="s">
        <v>303</v>
      </c>
      <c r="C411" s="160" t="s">
        <v>84</v>
      </c>
      <c r="D411" s="160" t="s">
        <v>1552</v>
      </c>
      <c r="E411" s="160" t="str" cm="1">
        <f t="array" aca="1" ref="E411" ca="1">IF(C411="", INDIRECT("'"&amp;B411&amp;"'!B3"), INDEX(INDIRECT("'"&amp;B411&amp;"'!5:5"), COLUMN(INDIRECT("'"&amp;B411&amp;"'!"&amp;D411))))</f>
        <v>Projects with High-risk Country Owners</v>
      </c>
      <c r="F411" s="160" t="s">
        <v>1772</v>
      </c>
      <c r="G411" s="160" t="s">
        <v>1773</v>
      </c>
      <c r="H411" s="160" t="s">
        <v>1821</v>
      </c>
      <c r="I411" s="160" t="str">
        <f>IF('AML.04.13'!$E$11&lt;0, $G411 &amp; ": " &amp; $H411, "OK")</f>
        <v>OK</v>
      </c>
      <c r="J411" s="57" t="str">
        <f>IF(LEN(IF(VLOOKUP("AMLA_VR_AML.04.13_C0040_01",$A:$I,9,0)&lt;&gt;"OK",CHAR(10)&amp;VLOOKUP("AMLA_VR_AML.04.13_C0040_01",$A:$I,9,0),"")&amp;IF(VLOOKUP("AMLA_VR_AML.04.13_C0040_02",$A:$I,9,0)&lt;&gt;"OK",CHAR(10)&amp;VLOOKUP("AMLA_VR_AML.04.13_C0040_02",$A:$I,9,0),""))=0,"OK",MID(IF(VLOOKUP("AMLA_VR_AML.04.13_C0040_01",$A:$I,9,0)&lt;&gt;"OK",CHAR(10)&amp;VLOOKUP("AMLA_VR_AML.04.13_C0040_01",$A:$I,9,0),"")&amp;IF(VLOOKUP("AMLA_VR_AML.04.13_C0040_02",$A:$I,9,0)&lt;&gt;"OK",CHAR(10)&amp;VLOOKUP("AMLA_VR_AML.04.13_C0040_02",$A:$I,9,0),""),2,3000))</f>
        <v>OK</v>
      </c>
      <c r="K411" s="161" t="s">
        <v>1775</v>
      </c>
    </row>
    <row r="412" spans="1:11">
      <c r="A412" s="159" t="str">
        <f>"AMLA_VR_" &amp; B412 &amp; "_" &amp; C412 &amp; "_" &amp; TEXT(COUNTIFS($B$2:B412, B412, $C$2:C412, C412), "00")</f>
        <v>AMLA_VR_AML.04.13_C0040_02</v>
      </c>
      <c r="B412" s="160" t="s">
        <v>303</v>
      </c>
      <c r="C412" s="160" t="s">
        <v>84</v>
      </c>
      <c r="D412" s="160" t="s">
        <v>1552</v>
      </c>
      <c r="E412" s="160" t="str" cm="1">
        <f t="array" aca="1" ref="E412" ca="1">IF(C412="", INDIRECT("'"&amp;B412&amp;"'!B3"), INDEX(INDIRECT("'"&amp;B412&amp;"'!5:5"), COLUMN(INDIRECT("'"&amp;B412&amp;"'!"&amp;D412))))</f>
        <v>Projects with High-risk Country Owners</v>
      </c>
      <c r="F412" s="160" t="s">
        <v>1776</v>
      </c>
      <c r="G412" s="160" t="s">
        <v>1773</v>
      </c>
      <c r="H412" s="160" t="s">
        <v>1816</v>
      </c>
      <c r="I412" s="160" t="str">
        <f>IF(TRIM(SUBSTITUTE('AML.04.13'!$E$11&amp;"",CHAR(160),""))="","OK",IF(OR(NOT(ISNUMBER('AML.04.13'!$E$11)),IFERROR(INT('AML.04.13'!$E$11)&lt;&gt;'AML.04.13'!$E$11,TRUE)),$G412&amp;": "&amp;$H412,"OK"))</f>
        <v>OK</v>
      </c>
      <c r="J412" s="57" t="str">
        <f>IF(LEN(IF(VLOOKUP("AMLA_VR_AML.04.13_C0040_01",$A:$I,9,0)&lt;&gt;"OK",CHAR(10)&amp;VLOOKUP("AMLA_VR_AML.04.13_C0040_01",$A:$I,9,0),"")&amp;IF(VLOOKUP("AMLA_VR_AML.04.13_C0040_02",$A:$I,9,0)&lt;&gt;"OK",CHAR(10)&amp;VLOOKUP("AMLA_VR_AML.04.13_C0040_02",$A:$I,9,0),""))=0,"OK",MID(IF(VLOOKUP("AMLA_VR_AML.04.13_C0040_01",$A:$I,9,0)&lt;&gt;"OK",CHAR(10)&amp;VLOOKUP("AMLA_VR_AML.04.13_C0040_01",$A:$I,9,0),"")&amp;IF(VLOOKUP("AMLA_VR_AML.04.13_C0040_02",$A:$I,9,0)&lt;&gt;"OK",CHAR(10)&amp;VLOOKUP("AMLA_VR_AML.04.13_C0040_02",$A:$I,9,0),""),2,3000))</f>
        <v>OK</v>
      </c>
      <c r="K412" s="161" t="s">
        <v>1775</v>
      </c>
    </row>
    <row r="413" spans="1:11">
      <c r="A413" s="159" t="str">
        <f>"AMLA_VR_" &amp; B413 &amp; "_" &amp; C413 &amp; "_" &amp; TEXT(COUNTIFS($B$2:B413, B413, $C$2:C413, C413), "00")</f>
        <v>AMLA_VR_AML.04.14_C0010_01</v>
      </c>
      <c r="B413" s="157" t="s">
        <v>309</v>
      </c>
      <c r="C413" s="157" t="s">
        <v>81</v>
      </c>
      <c r="D413" s="157" t="s">
        <v>1549</v>
      </c>
      <c r="E413" s="160" t="str" cm="1">
        <f t="array" aca="1" ref="E413" ca="1">IF(C413="", INDIRECT("'"&amp;B413&amp;"'!B3"), INDEX(INDIRECT("'"&amp;B413&amp;"'!5:5"), COLUMN(INDIRECT("'"&amp;B413&amp;"'!"&amp;D413))))</f>
        <v>Cash Transactions (Withdrawals) - Number</v>
      </c>
      <c r="F413" s="157" t="s">
        <v>1772</v>
      </c>
      <c r="G413" s="157" t="s">
        <v>1773</v>
      </c>
      <c r="H413" s="157" t="s">
        <v>1815</v>
      </c>
      <c r="I413" s="157" t="str">
        <f>IF('AML.04.14'!$B$11&lt;0, $G413 &amp; ": " &amp; $H413, "OK")</f>
        <v>OK</v>
      </c>
      <c r="J413" s="171" t="str">
        <f>IF(LEN(IF(VLOOKUP("AMLA_VR_AML.04.14_C0010_01",$A:$I,9,0)&lt;&gt;"OK",CHAR(10)&amp;VLOOKUP("AMLA_VR_AML.04.14_C0010_01",$A:$I,9,0),"")&amp;IF(VLOOKUP("AMLA_VR_AML.04.14_C0010_02",$A:$I,9,0)&lt;&gt;"OK",CHAR(10)&amp;VLOOKUP("AMLA_VR_AML.04.14_C0010_02",$A:$I,9,0),""))=0,"OK",MID(IF(VLOOKUP("AMLA_VR_AML.04.14_C0010_01",$A:$I,9,0)&lt;&gt;"OK",CHAR(10)&amp;VLOOKUP("AMLA_VR_AML.04.14_C0010_01",$A:$I,9,0),"")&amp;IF(VLOOKUP("AMLA_VR_AML.04.14_C0010_02",$A:$I,9,0)&lt;&gt;"OK",CHAR(10)&amp;VLOOKUP("AMLA_VR_AML.04.14_C0010_02",$A:$I,9,0),""),2,3000))</f>
        <v>OK</v>
      </c>
      <c r="K413" s="158" t="s">
        <v>1775</v>
      </c>
    </row>
    <row r="414" spans="1:11">
      <c r="A414" s="159" t="str">
        <f>"AMLA_VR_" &amp; B414 &amp; "_" &amp; C414 &amp; "_" &amp; TEXT(COUNTIFS($B$2:B414, B414, $C$2:C414, C414), "00")</f>
        <v>AMLA_VR_AML.04.14_C0010_02</v>
      </c>
      <c r="B414" s="157" t="s">
        <v>309</v>
      </c>
      <c r="C414" s="157" t="s">
        <v>81</v>
      </c>
      <c r="D414" s="157" t="s">
        <v>1549</v>
      </c>
      <c r="E414" s="160" t="str" cm="1">
        <f t="array" aca="1" ref="E414" ca="1">IF(C414="", INDIRECT("'"&amp;B414&amp;"'!B3"), INDEX(INDIRECT("'"&amp;B414&amp;"'!5:5"), COLUMN(INDIRECT("'"&amp;B414&amp;"'!"&amp;D414))))</f>
        <v>Cash Transactions (Withdrawals) - Number</v>
      </c>
      <c r="F414" s="157" t="s">
        <v>1776</v>
      </c>
      <c r="G414" s="157" t="s">
        <v>1773</v>
      </c>
      <c r="H414" s="157" t="s">
        <v>1816</v>
      </c>
      <c r="I414" s="157" t="str">
        <f>IF(TRIM(SUBSTITUTE('AML.04.14'!$B$11&amp;"",CHAR(160),""))="","OK",IF(OR(NOT(ISNUMBER('AML.04.14'!$B$11)),IFERROR(INT('AML.04.14'!$B$11)&lt;&gt;'AML.04.14'!$B$11,TRUE)),$G414&amp;": "&amp;$H414,"OK"))</f>
        <v>OK</v>
      </c>
      <c r="J414" s="171" t="str">
        <f>IF(LEN(IF(VLOOKUP("AMLA_VR_AML.04.14_C0010_01",$A:$I,9,0)&lt;&gt;"OK",CHAR(10)&amp;VLOOKUP("AMLA_VR_AML.04.14_C0010_01",$A:$I,9,0),"")&amp;IF(VLOOKUP("AMLA_VR_AML.04.14_C0010_02",$A:$I,9,0)&lt;&gt;"OK",CHAR(10)&amp;VLOOKUP("AMLA_VR_AML.04.14_C0010_02",$A:$I,9,0),""))=0,"OK",MID(IF(VLOOKUP("AMLA_VR_AML.04.14_C0010_01",$A:$I,9,0)&lt;&gt;"OK",CHAR(10)&amp;VLOOKUP("AMLA_VR_AML.04.14_C0010_01",$A:$I,9,0),"")&amp;IF(VLOOKUP("AMLA_VR_AML.04.14_C0010_02",$A:$I,9,0)&lt;&gt;"OK",CHAR(10)&amp;VLOOKUP("AMLA_VR_AML.04.14_C0010_02",$A:$I,9,0),""),2,3000))</f>
        <v>OK</v>
      </c>
      <c r="K414" s="158" t="s">
        <v>1775</v>
      </c>
    </row>
    <row r="415" spans="1:11">
      <c r="A415" s="159" t="str">
        <f>"AMLA_VR_" &amp; B415 &amp; "_" &amp; C415 &amp; "_" &amp; TEXT(COUNTIFS($B$2:B415, B415, $C$2:C415, C415), "00")</f>
        <v>AMLA_VR_AML.04.14_C0020_01</v>
      </c>
      <c r="B415" s="160" t="s">
        <v>309</v>
      </c>
      <c r="C415" s="160" t="s">
        <v>82</v>
      </c>
      <c r="D415" s="160" t="s">
        <v>1550</v>
      </c>
      <c r="E415" s="160" t="str" cm="1">
        <f t="array" aca="1" ref="E415" ca="1">IF(C415="", INDIRECT("'"&amp;B415&amp;"'!B3"), INDEX(INDIRECT("'"&amp;B415&amp;"'!5:5"), COLUMN(INDIRECT("'"&amp;B415&amp;"'!"&amp;D415))))</f>
        <v>Cash Transactions (Deposits) - Volume</v>
      </c>
      <c r="F415" s="160" t="s">
        <v>1772</v>
      </c>
      <c r="G415" s="160" t="s">
        <v>1773</v>
      </c>
      <c r="H415" s="160" t="s">
        <v>1819</v>
      </c>
      <c r="I415" s="160" t="str">
        <f>IF('AML.04.14'!$C$11&lt;0, $G415 &amp; ": " &amp; $H415, "OK")</f>
        <v>OK</v>
      </c>
      <c r="J415" s="57" t="str">
        <f>IF(LEN(IF(VLOOKUP("AMLA_VR_AML.04.14_C0020_01",$A:$I,9,0)&lt;&gt;"OK",CHAR(10)&amp;VLOOKUP("AMLA_VR_AML.04.14_C0020_01",$A:$I,9,0),"")&amp;IF(VLOOKUP("AMLA_VR_AML.04.14_C0020_02",$A:$I,9,0)&lt;&gt;"OK",CHAR(10)&amp;VLOOKUP("AMLA_VR_AML.04.14_C0020_02",$A:$I,9,0),""))=0,"OK",MID(IF(VLOOKUP("AMLA_VR_AML.04.14_C0020_01",$A:$I,9,0)&lt;&gt;"OK",CHAR(10)&amp;VLOOKUP("AMLA_VR_AML.04.14_C0020_01",$A:$I,9,0),"")&amp;IF(VLOOKUP("AMLA_VR_AML.04.14_C0020_02",$A:$I,9,0)&lt;&gt;"OK",CHAR(10)&amp;VLOOKUP("AMLA_VR_AML.04.14_C0020_02",$A:$I,9,0),""),2,3000))</f>
        <v>OK</v>
      </c>
      <c r="K415" s="161" t="s">
        <v>1775</v>
      </c>
    </row>
    <row r="416" spans="1:11">
      <c r="A416" s="159" t="str">
        <f>"AMLA_VR_" &amp; B416 &amp; "_" &amp; C416 &amp; "_" &amp; TEXT(COUNTIFS($B$2:B416, B416, $C$2:C416, C416), "00")</f>
        <v>AMLA_VR_AML.04.14_C0020_02</v>
      </c>
      <c r="B416" s="160" t="s">
        <v>309</v>
      </c>
      <c r="C416" s="160" t="s">
        <v>82</v>
      </c>
      <c r="D416" s="160" t="s">
        <v>1550</v>
      </c>
      <c r="E416" s="160" t="str" cm="1">
        <f t="array" aca="1" ref="E416" ca="1">IF(C416="", INDIRECT("'"&amp;B416&amp;"'!B3"), INDEX(INDIRECT("'"&amp;B416&amp;"'!5:5"), COLUMN(INDIRECT("'"&amp;B416&amp;"'!"&amp;D416))))</f>
        <v>Cash Transactions (Deposits) - Volume</v>
      </c>
      <c r="F416" s="160" t="s">
        <v>1776</v>
      </c>
      <c r="G416" s="160" t="s">
        <v>1773</v>
      </c>
      <c r="H416" s="160" t="s">
        <v>1816</v>
      </c>
      <c r="I416" s="160" t="str">
        <f>IF(TRIM(SUBSTITUTE('AML.04.14'!$C$11&amp;"",CHAR(160),""))="","OK",IF(OR(NOT(ISNUMBER('AML.04.14'!$C$11)),IFERROR(INT('AML.04.14'!$C$11)&lt;&gt;'AML.04.14'!$C$11,TRUE)),$G416&amp;": "&amp;$H416,"OK"))</f>
        <v>OK</v>
      </c>
      <c r="J416" s="57" t="str">
        <f>IF(LEN(IF(VLOOKUP("AMLA_VR_AML.04.14_C0020_01",$A:$I,9,0)&lt;&gt;"OK",CHAR(10)&amp;VLOOKUP("AMLA_VR_AML.04.14_C0020_01",$A:$I,9,0),"")&amp;IF(VLOOKUP("AMLA_VR_AML.04.14_C0020_02",$A:$I,9,0)&lt;&gt;"OK",CHAR(10)&amp;VLOOKUP("AMLA_VR_AML.04.14_C0020_02",$A:$I,9,0),""))=0,"OK",MID(IF(VLOOKUP("AMLA_VR_AML.04.14_C0020_01",$A:$I,9,0)&lt;&gt;"OK",CHAR(10)&amp;VLOOKUP("AMLA_VR_AML.04.14_C0020_01",$A:$I,9,0),"")&amp;IF(VLOOKUP("AMLA_VR_AML.04.14_C0020_02",$A:$I,9,0)&lt;&gt;"OK",CHAR(10)&amp;VLOOKUP("AMLA_VR_AML.04.14_C0020_02",$A:$I,9,0),""),2,3000))</f>
        <v>OK</v>
      </c>
      <c r="K416" s="161" t="s">
        <v>1775</v>
      </c>
    </row>
    <row r="417" spans="1:11">
      <c r="A417" s="159" t="str">
        <f>"AMLA_VR_" &amp; B417 &amp; "_" &amp; C417 &amp; "_" &amp; TEXT(COUNTIFS($B$2:B417, B417, $C$2:C417, C417), "00")</f>
        <v>AMLA_VR_AML.04.14_C0030_01</v>
      </c>
      <c r="B417" s="157" t="s">
        <v>309</v>
      </c>
      <c r="C417" s="157" t="s">
        <v>83</v>
      </c>
      <c r="D417" s="157" t="s">
        <v>1551</v>
      </c>
      <c r="E417" s="160" t="str" cm="1">
        <f t="array" aca="1" ref="E417" ca="1">IF(C417="", INDIRECT("'"&amp;B417&amp;"'!B3"), INDEX(INDIRECT("'"&amp;B417&amp;"'!5:5"), COLUMN(INDIRECT("'"&amp;B417&amp;"'!"&amp;D417))))</f>
        <v>Cash Transactions (Withdrawals) - Value</v>
      </c>
      <c r="F417" s="157" t="s">
        <v>1772</v>
      </c>
      <c r="G417" s="157" t="s">
        <v>1773</v>
      </c>
      <c r="H417" s="157" t="s">
        <v>1820</v>
      </c>
      <c r="I417" s="157" t="str">
        <f>IF('AML.04.14'!$D$11&lt;0, $G417 &amp; ": " &amp; $H417, "OK")</f>
        <v>OK</v>
      </c>
      <c r="J417" s="171" t="str">
        <f>IF(LEN(IF(VLOOKUP("AMLA_VR_AML.04.14_C0030_01",$A:$I,9,0)&lt;&gt;"OK",CHAR(10)&amp;VLOOKUP("AMLA_VR_AML.04.14_C0030_01",$A:$I,9,0),"")&amp;IF(VLOOKUP("AMLA_VR_AML.04.14_C0030_02",$A:$I,9,0)&lt;&gt;"OK",CHAR(10)&amp;VLOOKUP("AMLA_VR_AML.04.14_C0030_02",$A:$I,9,0),"")&amp;IF(VLOOKUP("AMLA_VR_AML.04.14_C0030_03",$A:$I,9,0)&lt;&gt;"OK",CHAR(10)&amp;VLOOKUP("AMLA_VR_AML.04.14_C0030_03",$A:$I,9,0),""))=0,"OK",MID(IF(VLOOKUP("AMLA_VR_AML.04.14_C0030_01",$A:$I,9,0)&lt;&gt;"OK",CHAR(10)&amp;VLOOKUP("AMLA_VR_AML.04.14_C0030_01",$A:$I,9,0),"")&amp;IF(VLOOKUP("AMLA_VR_AML.04.14_C0030_02",$A:$I,9,0)&lt;&gt;"OK",CHAR(10)&amp;VLOOKUP("AMLA_VR_AML.04.14_C0030_02",$A:$I,9,0),"")&amp;IF(VLOOKUP("AMLA_VR_AML.04.14_C0030_03",$A:$I,9,0)&lt;&gt;"OK",CHAR(10)&amp;VLOOKUP("AMLA_VR_AML.04.14_C0030_03",$A:$I,9,0),""),2,3000))</f>
        <v>OK</v>
      </c>
      <c r="K417" s="158" t="s">
        <v>1775</v>
      </c>
    </row>
    <row r="418" spans="1:11">
      <c r="A418" s="159" t="str">
        <f>"AMLA_VR_" &amp; B418 &amp; "_" &amp; C418 &amp; "_" &amp; TEXT(COUNTIFS($B$2:B418, B418, $C$2:C418, C418), "00")</f>
        <v>AMLA_VR_AML.04.14_C0030_02</v>
      </c>
      <c r="B418" s="157" t="s">
        <v>309</v>
      </c>
      <c r="C418" s="157" t="s">
        <v>83</v>
      </c>
      <c r="D418" s="157" t="s">
        <v>1551</v>
      </c>
      <c r="E418" s="160" t="str" cm="1">
        <f t="array" aca="1" ref="E418" ca="1">IF(C418="", INDIRECT("'"&amp;B418&amp;"'!B3"), INDEX(INDIRECT("'"&amp;B418&amp;"'!5:5"), COLUMN(INDIRECT("'"&amp;B418&amp;"'!"&amp;D418))))</f>
        <v>Cash Transactions (Withdrawals) - Value</v>
      </c>
      <c r="F418" s="157" t="s">
        <v>1776</v>
      </c>
      <c r="G418" s="157" t="s">
        <v>1773</v>
      </c>
      <c r="H418" s="157" t="s">
        <v>1837</v>
      </c>
      <c r="I418" s="157" t="str">
        <f>IF(TRIM(SUBSTITUTE('AML.04.14'!$D$11&amp;"",CHAR(160),""))="","OK",IF(NOT(ISNUMBER('AML.04.14'!$D$11)),$G418&amp;": "&amp;$H418,"OK"))</f>
        <v>OK</v>
      </c>
      <c r="J418" s="171" t="str">
        <f>IF(LEN(IF(VLOOKUP("AMLA_VR_AML.04.14_C0030_01",$A:$I,9,0)&lt;&gt;"OK",CHAR(10)&amp;VLOOKUP("AMLA_VR_AML.04.14_C0030_01",$A:$I,9,0),"")&amp;IF(VLOOKUP("AMLA_VR_AML.04.14_C0030_02",$A:$I,9,0)&lt;&gt;"OK",CHAR(10)&amp;VLOOKUP("AMLA_VR_AML.04.14_C0030_02",$A:$I,9,0),"")&amp;IF(VLOOKUP("AMLA_VR_AML.04.14_C0030_03",$A:$I,9,0)&lt;&gt;"OK",CHAR(10)&amp;VLOOKUP("AMLA_VR_AML.04.14_C0030_03",$A:$I,9,0),""))=0,"OK",MID(IF(VLOOKUP("AMLA_VR_AML.04.14_C0030_01",$A:$I,9,0)&lt;&gt;"OK",CHAR(10)&amp;VLOOKUP("AMLA_VR_AML.04.14_C0030_01",$A:$I,9,0),"")&amp;IF(VLOOKUP("AMLA_VR_AML.04.14_C0030_02",$A:$I,9,0)&lt;&gt;"OK",CHAR(10)&amp;VLOOKUP("AMLA_VR_AML.04.14_C0030_02",$A:$I,9,0),"")&amp;IF(VLOOKUP("AMLA_VR_AML.04.14_C0030_03",$A:$I,9,0)&lt;&gt;"OK",CHAR(10)&amp;VLOOKUP("AMLA_VR_AML.04.14_C0030_03",$A:$I,9,0),""),2,3000))</f>
        <v>OK</v>
      </c>
      <c r="K418" s="158" t="s">
        <v>1775</v>
      </c>
    </row>
    <row r="419" spans="1:11">
      <c r="A419" s="159" t="str">
        <f>"AMLA_VR_" &amp; B419 &amp; "_" &amp; C419 &amp; "_" &amp; TEXT(COUNTIFS($B$2:B419, B419, $C$2:C419, C419), "00")</f>
        <v>AMLA_VR_AML.04.14_C0030_03</v>
      </c>
      <c r="B419" s="160" t="s">
        <v>309</v>
      </c>
      <c r="C419" s="160" t="s">
        <v>83</v>
      </c>
      <c r="D419" s="160" t="s">
        <v>1551</v>
      </c>
      <c r="E419" s="160" t="str" cm="1">
        <f t="array" aca="1" ref="E419" ca="1">IF(C419="", INDIRECT("'"&amp;B419&amp;"'!B3"), INDEX(INDIRECT("'"&amp;B419&amp;"'!5:5"), COLUMN(INDIRECT("'"&amp;B419&amp;"'!"&amp;D419))))</f>
        <v>Cash Transactions (Withdrawals) - Value</v>
      </c>
      <c r="F419" s="160" t="s">
        <v>1772</v>
      </c>
      <c r="G419" s="160" t="s">
        <v>1813</v>
      </c>
      <c r="H419" s="160" t="s">
        <v>1859</v>
      </c>
      <c r="I419" s="160" t="str">
        <f>IF(AND('AML.04.14'!$D$11=0, 'AML.04.14'!$B$11&gt;0), $G419 &amp; ": " &amp; $H419, "OK")</f>
        <v>OK</v>
      </c>
      <c r="J419" s="57" t="str">
        <f>IF(LEN(IF(VLOOKUP("AMLA_VR_AML.04.14_C0030_01",$A:$I,9,0)&lt;&gt;"OK",CHAR(10)&amp;VLOOKUP("AMLA_VR_AML.04.14_C0030_01",$A:$I,9,0),"")&amp;IF(VLOOKUP("AMLA_VR_AML.04.14_C0030_02",$A:$I,9,0)&lt;&gt;"OK",CHAR(10)&amp;VLOOKUP("AMLA_VR_AML.04.14_C0030_02",$A:$I,9,0),"")&amp;IF(VLOOKUP("AMLA_VR_AML.04.14_C0030_03",$A:$I,9,0)&lt;&gt;"OK",CHAR(10)&amp;VLOOKUP("AMLA_VR_AML.04.14_C0030_03",$A:$I,9,0),""))=0,"OK",MID(IF(VLOOKUP("AMLA_VR_AML.04.14_C0030_01",$A:$I,9,0)&lt;&gt;"OK",CHAR(10)&amp;VLOOKUP("AMLA_VR_AML.04.14_C0030_01",$A:$I,9,0),"")&amp;IF(VLOOKUP("AMLA_VR_AML.04.14_C0030_02",$A:$I,9,0)&lt;&gt;"OK",CHAR(10)&amp;VLOOKUP("AMLA_VR_AML.04.14_C0030_02",$A:$I,9,0),"")&amp;IF(VLOOKUP("AMLA_VR_AML.04.14_C0030_03",$A:$I,9,0)&lt;&gt;"OK",CHAR(10)&amp;VLOOKUP("AMLA_VR_AML.04.14_C0030_03",$A:$I,9,0),""),2,3000))</f>
        <v>OK</v>
      </c>
      <c r="K419" s="161" t="s">
        <v>1775</v>
      </c>
    </row>
    <row r="420" spans="1:11">
      <c r="A420" s="159" t="str">
        <f>"AMLA_VR_" &amp; B420 &amp; "_" &amp; C420 &amp; "_" &amp; TEXT(COUNTIFS($B$2:B420, B420, $C$2:C420, C420), "00")</f>
        <v>AMLA_VR_AML.04.14_C0040_01</v>
      </c>
      <c r="B420" s="157" t="s">
        <v>309</v>
      </c>
      <c r="C420" s="157" t="s">
        <v>84</v>
      </c>
      <c r="D420" s="157" t="s">
        <v>1552</v>
      </c>
      <c r="E420" s="160" t="str" cm="1">
        <f t="array" aca="1" ref="E420" ca="1">IF(C420="", INDIRECT("'"&amp;B420&amp;"'!B3"), INDEX(INDIRECT("'"&amp;B420&amp;"'!5:5"), COLUMN(INDIRECT("'"&amp;B420&amp;"'!"&amp;D420))))</f>
        <v>Cash Transactions (Deposits) - Value</v>
      </c>
      <c r="F420" s="157" t="s">
        <v>1772</v>
      </c>
      <c r="G420" s="157" t="s">
        <v>1773</v>
      </c>
      <c r="H420" s="157" t="s">
        <v>1821</v>
      </c>
      <c r="I420" s="157" t="str">
        <f>IF('AML.04.14'!$E$11&lt;0, $G420 &amp; ": " &amp; $H420, "OK")</f>
        <v>OK</v>
      </c>
      <c r="J420" s="171" t="str">
        <f>IF(LEN(IF(VLOOKUP("AMLA_VR_AML.04.14_C0040_01",$A:$I,9,0)&lt;&gt;"OK",CHAR(10)&amp;VLOOKUP("AMLA_VR_AML.04.14_C0040_01",$A:$I,9,0),"")&amp;IF(VLOOKUP("AMLA_VR_AML.04.14_C0040_02",$A:$I,9,0)&lt;&gt;"OK",CHAR(10)&amp;VLOOKUP("AMLA_VR_AML.04.14_C0040_02",$A:$I,9,0),"")&amp;IF(VLOOKUP("AMLA_VR_AML.04.14_C0040_03",$A:$I,9,0)&lt;&gt;"OK",CHAR(10)&amp;VLOOKUP("AMLA_VR_AML.04.14_C0040_03",$A:$I,9,0),""))=0,"OK",MID(IF(VLOOKUP("AMLA_VR_AML.04.14_C0040_01",$A:$I,9,0)&lt;&gt;"OK",CHAR(10)&amp;VLOOKUP("AMLA_VR_AML.04.14_C0040_01",$A:$I,9,0),"")&amp;IF(VLOOKUP("AMLA_VR_AML.04.14_C0040_02",$A:$I,9,0)&lt;&gt;"OK",CHAR(10)&amp;VLOOKUP("AMLA_VR_AML.04.14_C0040_02",$A:$I,9,0),"")&amp;IF(VLOOKUP("AMLA_VR_AML.04.14_C0040_03",$A:$I,9,0)&lt;&gt;"OK",CHAR(10)&amp;VLOOKUP("AMLA_VR_AML.04.14_C0040_03",$A:$I,9,0),""),2,3000))</f>
        <v>OK</v>
      </c>
      <c r="K420" s="158" t="s">
        <v>1775</v>
      </c>
    </row>
    <row r="421" spans="1:11">
      <c r="A421" s="159" t="str">
        <f>"AMLA_VR_" &amp; B421 &amp; "_" &amp; C421 &amp; "_" &amp; TEXT(COUNTIFS($B$2:B421, B421, $C$2:C421, C421), "00")</f>
        <v>AMLA_VR_AML.04.14_C0040_02</v>
      </c>
      <c r="B421" s="160" t="s">
        <v>309</v>
      </c>
      <c r="C421" s="160" t="s">
        <v>84</v>
      </c>
      <c r="D421" s="160" t="s">
        <v>1552</v>
      </c>
      <c r="E421" s="160" t="str" cm="1">
        <f t="array" aca="1" ref="E421" ca="1">IF(C421="", INDIRECT("'"&amp;B421&amp;"'!B3"), INDEX(INDIRECT("'"&amp;B421&amp;"'!5:5"), COLUMN(INDIRECT("'"&amp;B421&amp;"'!"&amp;D421))))</f>
        <v>Cash Transactions (Deposits) - Value</v>
      </c>
      <c r="F421" s="160" t="s">
        <v>1776</v>
      </c>
      <c r="G421" s="160" t="s">
        <v>1773</v>
      </c>
      <c r="H421" s="160" t="s">
        <v>1837</v>
      </c>
      <c r="I421" s="160" t="str">
        <f>IF(TRIM(SUBSTITUTE('AML.04.14'!$E$11&amp;"",CHAR(160),""))="","OK",IF(NOT(ISNUMBER('AML.04.14'!$E$11)),$G421&amp;": "&amp;$H421,"OK"))</f>
        <v>OK</v>
      </c>
      <c r="J421" s="57" t="str">
        <f>IF(LEN(IF(VLOOKUP("AMLA_VR_AML.04.14_C0040_01",$A:$I,9,0)&lt;&gt;"OK",CHAR(10)&amp;VLOOKUP("AMLA_VR_AML.04.14_C0040_01",$A:$I,9,0),"")&amp;IF(VLOOKUP("AMLA_VR_AML.04.14_C0040_02",$A:$I,9,0)&lt;&gt;"OK",CHAR(10)&amp;VLOOKUP("AMLA_VR_AML.04.14_C0040_02",$A:$I,9,0),"")&amp;IF(VLOOKUP("AMLA_VR_AML.04.14_C0040_03",$A:$I,9,0)&lt;&gt;"OK",CHAR(10)&amp;VLOOKUP("AMLA_VR_AML.04.14_C0040_03",$A:$I,9,0),""))=0,"OK",MID(IF(VLOOKUP("AMLA_VR_AML.04.14_C0040_01",$A:$I,9,0)&lt;&gt;"OK",CHAR(10)&amp;VLOOKUP("AMLA_VR_AML.04.14_C0040_01",$A:$I,9,0),"")&amp;IF(VLOOKUP("AMLA_VR_AML.04.14_C0040_02",$A:$I,9,0)&lt;&gt;"OK",CHAR(10)&amp;VLOOKUP("AMLA_VR_AML.04.14_C0040_02",$A:$I,9,0),"")&amp;IF(VLOOKUP("AMLA_VR_AML.04.14_C0040_03",$A:$I,9,0)&lt;&gt;"OK",CHAR(10)&amp;VLOOKUP("AMLA_VR_AML.04.14_C0040_03",$A:$I,9,0),""),2,3000))</f>
        <v>OK</v>
      </c>
      <c r="K421" s="161" t="s">
        <v>1775</v>
      </c>
    </row>
    <row r="422" spans="1:11">
      <c r="A422" s="159" t="str">
        <f>"AMLA_VR_" &amp; B422 &amp; "_" &amp; C422 &amp; "_" &amp; TEXT(COUNTIFS($B$2:B422, B422, $C$2:C422, C422), "00")</f>
        <v>AMLA_VR_AML.04.14_C0040_03</v>
      </c>
      <c r="B422" s="160" t="s">
        <v>309</v>
      </c>
      <c r="C422" s="160" t="s">
        <v>84</v>
      </c>
      <c r="D422" s="160" t="s">
        <v>1552</v>
      </c>
      <c r="E422" s="160" t="str" cm="1">
        <f t="array" aca="1" ref="E422" ca="1">IF(C422="", INDIRECT("'"&amp;B422&amp;"'!B3"), INDEX(INDIRECT("'"&amp;B422&amp;"'!5:5"), COLUMN(INDIRECT("'"&amp;B422&amp;"'!"&amp;D422))))</f>
        <v>Cash Transactions (Deposits) - Value</v>
      </c>
      <c r="F422" s="160" t="s">
        <v>1772</v>
      </c>
      <c r="G422" s="160" t="s">
        <v>1813</v>
      </c>
      <c r="H422" s="160" t="s">
        <v>1860</v>
      </c>
      <c r="I422" s="160" t="str">
        <f>IF(AND('AML.04.14'!$E$11=0, 'AML.04.14'!$C$11&gt;0), $G422 &amp; ": " &amp; $H422, "OK")</f>
        <v>OK</v>
      </c>
      <c r="J422" s="57" t="str">
        <f>IF(LEN(IF(VLOOKUP("AMLA_VR_AML.04.14_C0040_01",$A:$I,9,0)&lt;&gt;"OK",CHAR(10)&amp;VLOOKUP("AMLA_VR_AML.04.14_C0040_01",$A:$I,9,0),"")&amp;IF(VLOOKUP("AMLA_VR_AML.04.14_C0040_02",$A:$I,9,0)&lt;&gt;"OK",CHAR(10)&amp;VLOOKUP("AMLA_VR_AML.04.14_C0040_02",$A:$I,9,0),"")&amp;IF(VLOOKUP("AMLA_VR_AML.04.14_C0040_03",$A:$I,9,0)&lt;&gt;"OK",CHAR(10)&amp;VLOOKUP("AMLA_VR_AML.04.14_C0040_03",$A:$I,9,0),""))=0,"OK",MID(IF(VLOOKUP("AMLA_VR_AML.04.14_C0040_01",$A:$I,9,0)&lt;&gt;"OK",CHAR(10)&amp;VLOOKUP("AMLA_VR_AML.04.14_C0040_01",$A:$I,9,0),"")&amp;IF(VLOOKUP("AMLA_VR_AML.04.14_C0040_02",$A:$I,9,0)&lt;&gt;"OK",CHAR(10)&amp;VLOOKUP("AMLA_VR_AML.04.14_C0040_02",$A:$I,9,0),"")&amp;IF(VLOOKUP("AMLA_VR_AML.04.14_C0040_03",$A:$I,9,0)&lt;&gt;"OK",CHAR(10)&amp;VLOOKUP("AMLA_VR_AML.04.14_C0040_03",$A:$I,9,0),""),2,3000))</f>
        <v>OK</v>
      </c>
      <c r="K422" s="161" t="s">
        <v>1775</v>
      </c>
    </row>
    <row r="423" spans="1:11">
      <c r="A423" s="159" t="str">
        <f>"AMLA_VR_" &amp; B423 &amp; "_" &amp; C423 &amp; "_" &amp; TEXT(COUNTIFS($B$2:B423, B423, $C$2:C423, C423), "00")</f>
        <v>AMLA_VR_AML.04.14_C0050_01</v>
      </c>
      <c r="B423" s="157" t="s">
        <v>309</v>
      </c>
      <c r="C423" s="157" t="s">
        <v>85</v>
      </c>
      <c r="D423" s="157" t="s">
        <v>1553</v>
      </c>
      <c r="E423" s="160" t="str" cm="1">
        <f t="array" aca="1" ref="E423" ca="1">IF(C423="", INDIRECT("'"&amp;B423&amp;"'!B3"), INDEX(INDIRECT("'"&amp;B423&amp;"'!5:5"), COLUMN(INDIRECT("'"&amp;B423&amp;"'!"&amp;D423))))</f>
        <v>Customers with Cash Transactions &gt; EUR 20 000</v>
      </c>
      <c r="F423" s="157" t="s">
        <v>1772</v>
      </c>
      <c r="G423" s="157" t="s">
        <v>1773</v>
      </c>
      <c r="H423" s="157" t="s">
        <v>1822</v>
      </c>
      <c r="I423" s="157" t="str">
        <f>IF('AML.04.14'!$F$11&lt;0, $G423 &amp; ": " &amp; $H423, "OK")</f>
        <v>OK</v>
      </c>
      <c r="J423" s="171" t="str">
        <f>IF(LEN(IF(VLOOKUP("AMLA_VR_AML.04.14_C0050_01",$A:$I,9,0)&lt;&gt;"OK",CHAR(10)&amp;VLOOKUP("AMLA_VR_AML.04.14_C0050_01",$A:$I,9,0),"")&amp;IF(VLOOKUP("AMLA_VR_AML.04.14_C0050_02",$A:$I,9,0)&lt;&gt;"OK",CHAR(10)&amp;VLOOKUP("AMLA_VR_AML.04.14_C0050_02",$A:$I,9,0),""))=0,"OK",MID(IF(VLOOKUP("AMLA_VR_AML.04.14_C0050_01",$A:$I,9,0)&lt;&gt;"OK",CHAR(10)&amp;VLOOKUP("AMLA_VR_AML.04.14_C0050_01",$A:$I,9,0),"")&amp;IF(VLOOKUP("AMLA_VR_AML.04.14_C0050_02",$A:$I,9,0)&lt;&gt;"OK",CHAR(10)&amp;VLOOKUP("AMLA_VR_AML.04.14_C0050_02",$A:$I,9,0),""),2,3000))</f>
        <v>OK</v>
      </c>
      <c r="K423" s="158" t="s">
        <v>1775</v>
      </c>
    </row>
    <row r="424" spans="1:11">
      <c r="A424" s="159" t="str">
        <f>"AMLA_VR_" &amp; B424 &amp; "_" &amp; C424 &amp; "_" &amp; TEXT(COUNTIFS($B$2:B424, B424, $C$2:C424, C424), "00")</f>
        <v>AMLA_VR_AML.04.14_C0050_02</v>
      </c>
      <c r="B424" s="157" t="s">
        <v>309</v>
      </c>
      <c r="C424" s="157" t="s">
        <v>85</v>
      </c>
      <c r="D424" s="157" t="s">
        <v>1553</v>
      </c>
      <c r="E424" s="160" t="str" cm="1">
        <f t="array" aca="1" ref="E424" ca="1">IF(C424="", INDIRECT("'"&amp;B424&amp;"'!B3"), INDEX(INDIRECT("'"&amp;B424&amp;"'!5:5"), COLUMN(INDIRECT("'"&amp;B424&amp;"'!"&amp;D424))))</f>
        <v>Customers with Cash Transactions &gt; EUR 20 000</v>
      </c>
      <c r="F424" s="157" t="s">
        <v>1776</v>
      </c>
      <c r="G424" s="157" t="s">
        <v>1773</v>
      </c>
      <c r="H424" s="157" t="s">
        <v>1816</v>
      </c>
      <c r="I424" s="157" t="str">
        <f>IF(TRIM(SUBSTITUTE('AML.04.14'!$F$11&amp;"",CHAR(160),""))="","OK",IF(OR(NOT(ISNUMBER('AML.04.14'!$F$11)),IFERROR(INT('AML.04.14'!$F$11)&lt;&gt;'AML.04.14'!$F$11,TRUE)),$G424&amp;": "&amp;$H424,"OK"))</f>
        <v>OK</v>
      </c>
      <c r="J424" s="171" t="str">
        <f>IF(LEN(IF(VLOOKUP("AMLA_VR_AML.04.14_C0050_01",$A:$I,9,0)&lt;&gt;"OK",CHAR(10)&amp;VLOOKUP("AMLA_VR_AML.04.14_C0050_01",$A:$I,9,0),"")&amp;IF(VLOOKUP("AMLA_VR_AML.04.14_C0050_02",$A:$I,9,0)&lt;&gt;"OK",CHAR(10)&amp;VLOOKUP("AMLA_VR_AML.04.14_C0050_02",$A:$I,9,0),""))=0,"OK",MID(IF(VLOOKUP("AMLA_VR_AML.04.14_C0050_01",$A:$I,9,0)&lt;&gt;"OK",CHAR(10)&amp;VLOOKUP("AMLA_VR_AML.04.14_C0050_01",$A:$I,9,0),"")&amp;IF(VLOOKUP("AMLA_VR_AML.04.14_C0050_02",$A:$I,9,0)&lt;&gt;"OK",CHAR(10)&amp;VLOOKUP("AMLA_VR_AML.04.14_C0050_02",$A:$I,9,0),""),2,3000))</f>
        <v>OK</v>
      </c>
      <c r="K424" s="158" t="s">
        <v>1775</v>
      </c>
    </row>
    <row r="425" spans="1:11">
      <c r="A425" s="159" t="str">
        <f>"AMLA_VR_" &amp; B425 &amp; "_" &amp; C425 &amp; "_" &amp; TEXT(COUNTIFS($B$2:B425, B425, $C$2:C425, C425), "00")</f>
        <v>AMLA_VR_AML.05.01_C0010_01</v>
      </c>
      <c r="B425" s="160" t="s">
        <v>316</v>
      </c>
      <c r="C425" s="160" t="s">
        <v>81</v>
      </c>
      <c r="D425" s="160" t="s">
        <v>1549</v>
      </c>
      <c r="E425" s="160" t="str" cm="1">
        <f t="array" aca="1" ref="E425" ca="1">IF(C425="", INDIRECT("'"&amp;B425&amp;"'!B3"), INDEX(INDIRECT("'"&amp;B425&amp;"'!5:5"), COLUMN(INDIRECT("'"&amp;B425&amp;"'!"&amp;D425))))</f>
        <v>Country</v>
      </c>
      <c r="F425" s="157" t="s">
        <v>1772</v>
      </c>
      <c r="G425" s="160" t="s">
        <v>1773</v>
      </c>
      <c r="H425" s="160" t="s">
        <v>1894</v>
      </c>
      <c r="I425" s="160" t="str" cm="1">
        <f t="array" ref="I425">IF(SUMPRODUCT((TRIM(SUBSTITUTE('AML.05.01'!$B$11:B209,CHAR(160),""))&lt;&gt;"") * (TRIM(SUBSTITUTE('AML.05.01'!$B$11:B209,CHAR(160),""))=""))=0, "OK", "there are (" &amp; SUMPRODUCT((TRIM(SUBSTITUTE('AML.05.01'!$B$11:B209,CHAR(160),""))&lt;&gt;"") * (TRIM(SUBSTITUTE('AML.05.01'!$B$11:B209,CHAR(160),""))="")) &amp; ") rows with " &amp; $G425 &amp; "(s) as " &amp; $H425)</f>
        <v>OK</v>
      </c>
      <c r="J425" s="57" t="str">
        <f>IF(LEN(IF(VLOOKUP("AMLA_VR_AML.05.01_C0010_01",$A:$I,9,0)&lt;&gt;"OK",CHAR(10)&amp;VLOOKUP("AMLA_VR_AML.05.01_C0010_01",$A:$I,9,0),"")&amp;IF(VLOOKUP("AMLA_VR_AML.05.01_C0010_02",$A:$I,9,0)&lt;&gt;"OK",CHAR(10)&amp;VLOOKUP("AMLA_VR_AML.05.01_C0010_02",$A:$I,9,0),"")&amp;IF(VLOOKUP("AMLA_VR_AML.05.01_C0010_03",$A:$I,9,0)&lt;&gt;"OK",CHAR(10)&amp;VLOOKUP("AMLA_VR_AML.05.01_C0010_03",$A:$I,9,0),""))=0,"OK",MID(IF(VLOOKUP("AMLA_VR_AML.05.01_C0010_01",$A:$I,9,0)&lt;&gt;"OK",CHAR(10)&amp;VLOOKUP("AMLA_VR_AML.05.01_C0010_01",$A:$I,9,0),"")&amp;IF(VLOOKUP("AMLA_VR_AML.05.01_C0010_02",$A:$I,9,0)&lt;&gt;"OK",CHAR(10)&amp;VLOOKUP("AMLA_VR_AML.05.01_C0010_02",$A:$I,9,0),"")&amp;IF(VLOOKUP("AMLA_VR_AML.05.01_C0010_03",$A:$I,9,0)&lt;&gt;"OK",CHAR(10)&amp;VLOOKUP("AMLA_VR_AML.05.01_C0010_03",$A:$I,9,0),""),2,3000))</f>
        <v>OK</v>
      </c>
      <c r="K425" s="161" t="s">
        <v>1775</v>
      </c>
    </row>
    <row r="426" spans="1:11">
      <c r="A426" s="159" t="str">
        <f>"AMLA_VR_" &amp; B426 &amp; "_" &amp; C426 &amp; "_" &amp; TEXT(COUNTIFS($B$2:B426, B426, $C$2:C426, C426), "00")</f>
        <v>AMLA_VR_AML.05.01_C0010_02</v>
      </c>
      <c r="B426" s="157" t="s">
        <v>316</v>
      </c>
      <c r="C426" s="157" t="s">
        <v>81</v>
      </c>
      <c r="D426" s="157" t="s">
        <v>1549</v>
      </c>
      <c r="E426" s="160" t="str" cm="1">
        <f t="array" aca="1" ref="E426" ca="1">IF(C426="", INDIRECT("'"&amp;B426&amp;"'!B3"), INDEX(INDIRECT("'"&amp;B426&amp;"'!5:5"), COLUMN(INDIRECT("'"&amp;B426&amp;"'!"&amp;D426))))</f>
        <v>Country</v>
      </c>
      <c r="F426" s="157" t="s">
        <v>1772</v>
      </c>
      <c r="G426" s="157" t="s">
        <v>1773</v>
      </c>
      <c r="H426" s="157" t="s">
        <v>1895</v>
      </c>
      <c r="I426" s="160" t="str">
        <f>IF(SUMPRODUCT(('AML.05.01'!$B$11:B209&lt;&gt;"") * (COUNTIF('AML.05.01'!$B$11:B209, 'AML.05.01'!$B$11:B209)&gt;1))=0, "OK", "there are (" &amp; SUMPRODUCT(('AML.05.01'!$B$11:B209&lt;&gt;"") * (COUNTIF('AML.05.01'!$B$11:B209, 'AML.05.01'!$B$11:B209)&gt;1)) &amp; ") rows with " &amp; $G426 &amp; "(s) as " &amp; $H426)</f>
        <v>OK</v>
      </c>
      <c r="J426" s="171" t="str">
        <f>IF(LEN(IF(VLOOKUP("AMLA_VR_AML.05.01_C0010_01",$A:$I,9,0)&lt;&gt;"OK",CHAR(10)&amp;VLOOKUP("AMLA_VR_AML.05.01_C0010_01",$A:$I,9,0),"")&amp;IF(VLOOKUP("AMLA_VR_AML.05.01_C0010_02",$A:$I,9,0)&lt;&gt;"OK",CHAR(10)&amp;VLOOKUP("AMLA_VR_AML.05.01_C0010_02",$A:$I,9,0),"")&amp;IF(VLOOKUP("AMLA_VR_AML.05.01_C0010_03",$A:$I,9,0)&lt;&gt;"OK",CHAR(10)&amp;VLOOKUP("AMLA_VR_AML.05.01_C0010_03",$A:$I,9,0),""))=0,"OK",MID(IF(VLOOKUP("AMLA_VR_AML.05.01_C0010_01",$A:$I,9,0)&lt;&gt;"OK",CHAR(10)&amp;VLOOKUP("AMLA_VR_AML.05.01_C0010_01",$A:$I,9,0),"")&amp;IF(VLOOKUP("AMLA_VR_AML.05.01_C0010_02",$A:$I,9,0)&lt;&gt;"OK",CHAR(10)&amp;VLOOKUP("AMLA_VR_AML.05.01_C0010_02",$A:$I,9,0),"")&amp;IF(VLOOKUP("AMLA_VR_AML.05.01_C0010_03",$A:$I,9,0)&lt;&gt;"OK",CHAR(10)&amp;VLOOKUP("AMLA_VR_AML.05.01_C0010_03",$A:$I,9,0),""),2,3000))</f>
        <v>OK</v>
      </c>
      <c r="K426" s="158" t="s">
        <v>1775</v>
      </c>
    </row>
    <row r="427" spans="1:11">
      <c r="A427" s="159" t="str">
        <f>"AMLA_VR_" &amp; B427 &amp; "_" &amp; C427 &amp; "_" &amp; TEXT(COUNTIFS($B$2:B427, B427, $C$2:C427, C427), "00")</f>
        <v>AMLA_VR_AML.05.01_C0010_03</v>
      </c>
      <c r="B427" s="160" t="s">
        <v>316</v>
      </c>
      <c r="C427" s="160" t="s">
        <v>81</v>
      </c>
      <c r="D427" s="160" t="s">
        <v>1896</v>
      </c>
      <c r="E427" s="160" t="str" cm="1">
        <f t="array" aca="1" ref="E427" ca="1">IF(C427="", INDIRECT("'"&amp;B427&amp;"'!B3"), INDEX(INDIRECT("'"&amp;B427&amp;"'!5:5"), COLUMN(INDIRECT("'"&amp;B427&amp;"'!"&amp;D427))))</f>
        <v>Country</v>
      </c>
      <c r="F427" s="160" t="s">
        <v>1776</v>
      </c>
      <c r="G427" s="160" t="s">
        <v>1773</v>
      </c>
      <c r="H427" s="160" t="s">
        <v>1782</v>
      </c>
      <c r="I427" s="160" t="str">
        <f>IF(SUMPRODUCT((TRIM(SUBSTITUTE('AML.05.01'!$B$11:$B$200&amp;"",CHAR(160),""))&lt;&gt;"")*(ISNA(MATCH('AML.05.01'!$B$11:$B$200,LIST_AMLA_00005,0))))=0,"OK",$G427&amp;": "&amp;$H427&amp;" ("&amp;SUMPRODUCT((TRIM(SUBSTITUTE('AML.05.01'!$B$11:$B$200&amp;"",CHAR(160),""))&lt;&gt;"")*(ISNA(MATCH('AML.05.01'!$B$11:$B$200,LIST_AMLA_00005,0))))&amp;" rows)")</f>
        <v>OK</v>
      </c>
      <c r="J427" s="57" t="str">
        <f>IF(LEN(IF(VLOOKUP("AMLA_VR_AML.05.01_C0010_01",$A:$I,9,0)&lt;&gt;"OK",CHAR(10)&amp;VLOOKUP("AMLA_VR_AML.05.01_C0010_01",$A:$I,9,0),"")&amp;IF(VLOOKUP("AMLA_VR_AML.05.01_C0010_02",$A:$I,9,0)&lt;&gt;"OK",CHAR(10)&amp;VLOOKUP("AMLA_VR_AML.05.01_C0010_02",$A:$I,9,0),"")&amp;IF(VLOOKUP("AMLA_VR_AML.05.01_C0010_03",$A:$I,9,0)&lt;&gt;"OK",CHAR(10)&amp;VLOOKUP("AMLA_VR_AML.05.01_C0010_03",$A:$I,9,0),""))=0,"OK",MID(IF(VLOOKUP("AMLA_VR_AML.05.01_C0010_01",$A:$I,9,0)&lt;&gt;"OK",CHAR(10)&amp;VLOOKUP("AMLA_VR_AML.05.01_C0010_01",$A:$I,9,0),"")&amp;IF(VLOOKUP("AMLA_VR_AML.05.01_C0010_02",$A:$I,9,0)&lt;&gt;"OK",CHAR(10)&amp;VLOOKUP("AMLA_VR_AML.05.01_C0010_02",$A:$I,9,0),"")&amp;IF(VLOOKUP("AMLA_VR_AML.05.01_C0010_03",$A:$I,9,0)&lt;&gt;"OK",CHAR(10)&amp;VLOOKUP("AMLA_VR_AML.05.01_C0010_03",$A:$I,9,0),""),2,3000))</f>
        <v>OK</v>
      </c>
      <c r="K427" s="161" t="s">
        <v>1775</v>
      </c>
    </row>
    <row r="428" spans="1:11">
      <c r="A428" s="159" t="str">
        <f>"AMLA_VR_" &amp; B428 &amp; "_" &amp; C428 &amp; "_" &amp; TEXT(COUNTIFS($B$2:B428, B428, $C$2:C428, C428), "00")</f>
        <v>AMLA_VR_AML.05.01_C0020_01</v>
      </c>
      <c r="B428" s="160" t="s">
        <v>316</v>
      </c>
      <c r="C428" s="160" t="s">
        <v>82</v>
      </c>
      <c r="D428" s="160" t="s">
        <v>1550</v>
      </c>
      <c r="E428" s="160" t="str" cm="1">
        <f t="array" aca="1" ref="E428" ca="1">IF(C428="", INDIRECT("'"&amp;B428&amp;"'!B3"), INDEX(INDIRECT("'"&amp;B428&amp;"'!5:5"), COLUMN(INDIRECT("'"&amp;B428&amp;"'!"&amp;D428))))</f>
        <v>Natural Persons</v>
      </c>
      <c r="F428" s="157" t="s">
        <v>1772</v>
      </c>
      <c r="G428" s="160" t="s">
        <v>1773</v>
      </c>
      <c r="H428" s="160" t="s">
        <v>1819</v>
      </c>
      <c r="I428" s="160" t="str" cm="1">
        <f t="array" ref="I428">IF(SUMPRODUCT((TRIM(SUBSTITUTE('AML.05.01'!$C$11:C209,CHAR(160),""))&lt;&gt;"") * (IFERROR(VALUE(TRIM(SUBSTITUTE('AML.05.01'!$C$11:C209,CHAR(160),""))),0)&lt;0))=0, "OK", "there are (" &amp; SUMPRODUCT((TRIM(SUBSTITUTE('AML.05.01'!$C$11:C209,CHAR(160),""))&lt;&gt;"") * (IFERROR(VALUE(TRIM(SUBSTITUTE('AML.05.01'!$C$11:C209,CHAR(160),""))),0)&lt;0)) &amp; ") rows with " &amp; $G428 &amp; "(s) as " &amp; $H428)</f>
        <v>OK</v>
      </c>
      <c r="J428" s="172" t="str">
        <f>IF(LEN(IF(VLOOKUP("AMLA_VR_AML.05.01_C0020_01",$A:$I,9,0)&lt;&gt;"OK",CHAR(10)&amp;VLOOKUP("AMLA_VR_AML.05.01_C0020_01",$A:$I,9,0),"")&amp;IF(VLOOKUP("AMLA_VR_AML.05.01_C0020_02",$A:$I,9,0)&lt;&gt;"OK",CHAR(10)&amp;VLOOKUP("AMLA_VR_AML.05.01_C0020_02",$A:$I,9,0),"")&amp;IF(VLOOKUP("AMLA_VR_AML.05.01_C0020_03",$A:$I,9,0)&lt;&gt;"OK",CHAR(10)&amp;VLOOKUP("AMLA_VR_AML.05.01_C0020_03",$A:$I,9,0),""))=0,"OK",MID(IF(VLOOKUP("AMLA_VR_AML.05.01_C0020_01",$A:$I,9,0)&lt;&gt;"OK",CHAR(10)&amp;VLOOKUP("AMLA_VR_AML.05.01_C0020_01",$A:$I,9,0),"")&amp;IF(VLOOKUP("AMLA_VR_AML.05.01_C0020_02",$A:$I,9,0)&lt;&gt;"OK",CHAR(10)&amp;VLOOKUP("AMLA_VR_AML.05.01_C0020_02",$A:$I,9,0),"")&amp;IF(VLOOKUP("AMLA_VR_AML.05.01_C0020_03",$A:$I,9,0)&lt;&gt;"OK",CHAR(10)&amp;VLOOKUP("AMLA_VR_AML.05.01_C0020_03",$A:$I,9,0),""),2,3000))</f>
        <v>OK</v>
      </c>
      <c r="K428" s="161" t="s">
        <v>1775</v>
      </c>
    </row>
    <row r="429" spans="1:11">
      <c r="A429" s="159" t="str">
        <f>"AMLA_VR_" &amp; B429 &amp; "_" &amp; C429 &amp; "_" &amp; TEXT(COUNTIFS($B$2:B429, B429, $C$2:C429, C429), "00")</f>
        <v>AMLA_VR_AML.05.01_C0020_02</v>
      </c>
      <c r="B429" s="157" t="s">
        <v>316</v>
      </c>
      <c r="C429" s="157" t="s">
        <v>82</v>
      </c>
      <c r="D429" s="157" t="s">
        <v>1897</v>
      </c>
      <c r="E429" s="160" t="str" cm="1">
        <f t="array" aca="1" ref="E429" ca="1">IF(C429="", INDIRECT("'"&amp;B429&amp;"'!B3"), INDEX(INDIRECT("'"&amp;B429&amp;"'!5:5"), COLUMN(INDIRECT("'"&amp;B429&amp;"'!"&amp;D429))))</f>
        <v>Natural Persons</v>
      </c>
      <c r="F429" s="157" t="s">
        <v>1776</v>
      </c>
      <c r="G429" s="157" t="s">
        <v>1773</v>
      </c>
      <c r="H429" s="157" t="s">
        <v>1816</v>
      </c>
      <c r="I429" s="160" t="str" cm="1">
        <f t="array" ref="I429">IF(SUMPRODUCT((TRIM(SUBSTITUTE('AML.05.01'!$C$11:$C$200&amp;"",CHAR(160),""))&lt;&gt;"")*((ISERROR('AML.05.01'!$C$11:$C$200+0)+IFERROR(INT('AML.05.01'!$C$11:$C$200+0)&lt;&gt;('AML.05.01'!$C$11:$C$200+0),1))&gt;0))=0,"OK",$G429&amp;": "&amp;$H429&amp;" ("&amp;SUMPRODUCT((TRIM(SUBSTITUTE('AML.05.01'!$C$11:$C$200&amp;"",CHAR(160),""))&lt;&gt;"")*((ISERROR('AML.05.01'!$C$11:$C$200+0)+IFERROR(INT('AML.05.01'!$C$11:$C$200+0)&lt;&gt;('AML.05.01'!$C$11:$C$200+0),1))&gt;0))&amp;" rows)")</f>
        <v>OK</v>
      </c>
      <c r="J429" s="173" t="str">
        <f>IF(LEN(IF(VLOOKUP("AMLA_VR_AML.05.01_C0020_01",$A:$I,9,0)&lt;&gt;"OK",CHAR(10)&amp;VLOOKUP("AMLA_VR_AML.05.01_C0020_01",$A:$I,9,0),"")&amp;IF(VLOOKUP("AMLA_VR_AML.05.01_C0020_02",$A:$I,9,0)&lt;&gt;"OK",CHAR(10)&amp;VLOOKUP("AMLA_VR_AML.05.01_C0020_02",$A:$I,9,0),"")&amp;IF(VLOOKUP("AMLA_VR_AML.05.01_C0020_03",$A:$I,9,0)&lt;&gt;"OK",CHAR(10)&amp;VLOOKUP("AMLA_VR_AML.05.01_C0020_03",$A:$I,9,0),""))=0,"OK",MID(IF(VLOOKUP("AMLA_VR_AML.05.01_C0020_01",$A:$I,9,0)&lt;&gt;"OK",CHAR(10)&amp;VLOOKUP("AMLA_VR_AML.05.01_C0020_01",$A:$I,9,0),"")&amp;IF(VLOOKUP("AMLA_VR_AML.05.01_C0020_02",$A:$I,9,0)&lt;&gt;"OK",CHAR(10)&amp;VLOOKUP("AMLA_VR_AML.05.01_C0020_02",$A:$I,9,0),"")&amp;IF(VLOOKUP("AMLA_VR_AML.05.01_C0020_03",$A:$I,9,0)&lt;&gt;"OK",CHAR(10)&amp;VLOOKUP("AMLA_VR_AML.05.01_C0020_03",$A:$I,9,0),""),2,3000))</f>
        <v>OK</v>
      </c>
      <c r="K429" s="158" t="s">
        <v>1775</v>
      </c>
    </row>
    <row r="430" spans="1:11">
      <c r="A430" s="159" t="str">
        <f>"AMLA_VR_" &amp; B430 &amp; "_" &amp; C430 &amp; "_" &amp; TEXT(COUNTIFS($B$2:B430, B430, $C$2:C430, C430), "00")</f>
        <v>AMLA_VR_AML.05.01_C0020_03</v>
      </c>
      <c r="B430" s="157" t="s">
        <v>316</v>
      </c>
      <c r="C430" s="157" t="s">
        <v>82</v>
      </c>
      <c r="D430" s="157" t="s">
        <v>1550</v>
      </c>
      <c r="E430" s="160" t="str" cm="1">
        <f t="array" aca="1" ref="E430" ca="1">IF(C430="", INDIRECT("'"&amp;B430&amp;"'!B3"), INDEX(INDIRECT("'"&amp;B430&amp;"'!5:5"), COLUMN(INDIRECT("'"&amp;B430&amp;"'!"&amp;D430))))</f>
        <v>Natural Persons</v>
      </c>
      <c r="F430" s="157" t="s">
        <v>1772</v>
      </c>
      <c r="G430" s="157" t="s">
        <v>1813</v>
      </c>
      <c r="H430" s="157" t="s">
        <v>1898</v>
      </c>
      <c r="I430" s="157" t="str">
        <f>IF('AML.05.01'!$C$11 &gt; 'AML.02.01'!$C$11, $G430 &amp; ": " &amp; $H430, "OK")</f>
        <v>OK</v>
      </c>
      <c r="J430" s="173" t="str">
        <f>IF(LEN(IF(VLOOKUP("AMLA_VR_AML.05.01_C0020_01",$A:$I,9,0)&lt;&gt;"OK",CHAR(10)&amp;VLOOKUP("AMLA_VR_AML.05.01_C0020_01",$A:$I,9,0),"")&amp;IF(VLOOKUP("AMLA_VR_AML.05.01_C0020_02",$A:$I,9,0)&lt;&gt;"OK",CHAR(10)&amp;VLOOKUP("AMLA_VR_AML.05.01_C0020_02",$A:$I,9,0),"")&amp;IF(VLOOKUP("AMLA_VR_AML.05.01_C0020_03",$A:$I,9,0)&lt;&gt;"OK",CHAR(10)&amp;VLOOKUP("AMLA_VR_AML.05.01_C0020_03",$A:$I,9,0),""))=0,"OK",MID(IF(VLOOKUP("AMLA_VR_AML.05.01_C0020_01",$A:$I,9,0)&lt;&gt;"OK",CHAR(10)&amp;VLOOKUP("AMLA_VR_AML.05.01_C0020_01",$A:$I,9,0),"")&amp;IF(VLOOKUP("AMLA_VR_AML.05.01_C0020_02",$A:$I,9,0)&lt;&gt;"OK",CHAR(10)&amp;VLOOKUP("AMLA_VR_AML.05.01_C0020_02",$A:$I,9,0),"")&amp;IF(VLOOKUP("AMLA_VR_AML.05.01_C0020_03",$A:$I,9,0)&lt;&gt;"OK",CHAR(10)&amp;VLOOKUP("AMLA_VR_AML.05.01_C0020_03",$A:$I,9,0),""),2,3000))</f>
        <v>OK</v>
      </c>
      <c r="K430" s="158" t="s">
        <v>1775</v>
      </c>
    </row>
    <row r="431" spans="1:11">
      <c r="A431" s="159" t="str">
        <f>"AMLA_VR_" &amp; B431 &amp; "_" &amp; C431 &amp; "_" &amp; TEXT(COUNTIFS($B$2:B431, B431, $C$2:C431, C431), "00")</f>
        <v>AMLA_VR_AML.05.01_C0030_01</v>
      </c>
      <c r="B431" s="160" t="s">
        <v>316</v>
      </c>
      <c r="C431" s="160" t="s">
        <v>83</v>
      </c>
      <c r="D431" s="160" t="s">
        <v>1551</v>
      </c>
      <c r="E431" s="160" t="str" cm="1">
        <f t="array" aca="1" ref="E431" ca="1">IF(C431="", INDIRECT("'"&amp;B431&amp;"'!B3"), INDEX(INDIRECT("'"&amp;B431&amp;"'!5:5"), COLUMN(INDIRECT("'"&amp;B431&amp;"'!"&amp;D431))))</f>
        <v>Legal Entities</v>
      </c>
      <c r="F431" s="157" t="s">
        <v>1772</v>
      </c>
      <c r="G431" s="160" t="s">
        <v>1773</v>
      </c>
      <c r="H431" s="160" t="s">
        <v>1820</v>
      </c>
      <c r="I431" s="160" t="str" cm="1">
        <f t="array" ref="I431">IF(SUMPRODUCT((TRIM(SUBSTITUTE('AML.05.01'!$D$11:D209,CHAR(160),""))&lt;&gt;"") * (IFERROR(VALUE(TRIM(SUBSTITUTE('AML.05.01'!$D$11:D209,CHAR(160),""))),0)&lt;0))=0, "OK", "there are (" &amp; SUMPRODUCT((TRIM(SUBSTITUTE('AML.05.01'!$D$11:D209,CHAR(160),""))&lt;&gt;"") * (IFERROR(VALUE(TRIM(SUBSTITUTE('AML.05.01'!$D$11:D209,CHAR(160),""))),0)&lt;0)) &amp; ") rows with " &amp; $G431 &amp; "(s) as " &amp; $H431)</f>
        <v>OK</v>
      </c>
      <c r="J431" s="172" t="str">
        <f>IF(LEN(IF(VLOOKUP("AMLA_VR_AML.05.01_C0030_01",$A:$I,9,0)&lt;&gt;"OK",CHAR(10)&amp;VLOOKUP("AMLA_VR_AML.05.01_C0030_01",$A:$I,9,0),"")&amp;IF(VLOOKUP("AMLA_VR_AML.05.01_C0030_02",$A:$I,9,0)&lt;&gt;"OK",CHAR(10)&amp;VLOOKUP("AMLA_VR_AML.05.01_C0030_02",$A:$I,9,0),"")&amp;IF(VLOOKUP("AMLA_VR_AML.05.01_C0030_03",$A:$I,9,0)&lt;&gt;"OK",CHAR(10)&amp;VLOOKUP("AMLA_VR_AML.05.01_C0030_03",$A:$I,9,0),""))=0,"OK",MID(IF(VLOOKUP("AMLA_VR_AML.05.01_C0030_01",$A:$I,9,0)&lt;&gt;"OK",CHAR(10)&amp;VLOOKUP("AMLA_VR_AML.05.01_C0030_01",$A:$I,9,0),"")&amp;IF(VLOOKUP("AMLA_VR_AML.05.01_C0030_02",$A:$I,9,0)&lt;&gt;"OK",CHAR(10)&amp;VLOOKUP("AMLA_VR_AML.05.01_C0030_02",$A:$I,9,0),"")&amp;IF(VLOOKUP("AMLA_VR_AML.05.01_C0030_03",$A:$I,9,0)&lt;&gt;"OK",CHAR(10)&amp;VLOOKUP("AMLA_VR_AML.05.01_C0030_03",$A:$I,9,0),""),2,3000))</f>
        <v>OK</v>
      </c>
      <c r="K431" s="161" t="s">
        <v>1775</v>
      </c>
    </row>
    <row r="432" spans="1:11">
      <c r="A432" s="159" t="str">
        <f>"AMLA_VR_" &amp; B432 &amp; "_" &amp; C432 &amp; "_" &amp; TEXT(COUNTIFS($B$2:B432, B432, $C$2:C432, C432), "00")</f>
        <v>AMLA_VR_AML.05.01_C0030_02</v>
      </c>
      <c r="B432" s="160" t="s">
        <v>316</v>
      </c>
      <c r="C432" s="160" t="s">
        <v>83</v>
      </c>
      <c r="D432" s="160" t="s">
        <v>1899</v>
      </c>
      <c r="E432" s="160" t="str" cm="1">
        <f t="array" aca="1" ref="E432" ca="1">IF(C432="", INDIRECT("'"&amp;B432&amp;"'!B3"), INDEX(INDIRECT("'"&amp;B432&amp;"'!5:5"), COLUMN(INDIRECT("'"&amp;B432&amp;"'!"&amp;D432))))</f>
        <v>Legal Entities</v>
      </c>
      <c r="F432" s="160" t="s">
        <v>1776</v>
      </c>
      <c r="G432" s="160" t="s">
        <v>1773</v>
      </c>
      <c r="H432" s="160" t="s">
        <v>1816</v>
      </c>
      <c r="I432" s="160" t="str" cm="1">
        <f t="array" ref="I432">IF(SUMPRODUCT((TRIM(SUBSTITUTE('AML.05.01'!$D$11:$D$200&amp;"",CHAR(160),""))&lt;&gt;"")*((ISERROR('AML.05.01'!$D$11:$D$200+0)+IFERROR(INT('AML.05.01'!$D$11:$D$200+0)&lt;&gt;('AML.05.01'!$D$11:$D$200+0),1))&gt;0))=0,"OK",$G432&amp;": "&amp;$H432&amp;" ("&amp;SUMPRODUCT((TRIM(SUBSTITUTE('AML.05.01'!$D$11:$D$200&amp;"",CHAR(160),""))&lt;&gt;"")*((ISERROR('AML.05.01'!$D$11:$D$200+0)+IFERROR(INT('AML.05.01'!$D$11:$D$200+0)&lt;&gt;('AML.05.01'!$D$11:$D$200+0),1))&gt;0))&amp;" rows)")</f>
        <v>OK</v>
      </c>
      <c r="J432" s="172" t="str">
        <f>IF(LEN(IF(VLOOKUP("AMLA_VR_AML.05.01_C0030_01",$A:$I,9,0)&lt;&gt;"OK",CHAR(10)&amp;VLOOKUP("AMLA_VR_AML.05.01_C0030_01",$A:$I,9,0),"")&amp;IF(VLOOKUP("AMLA_VR_AML.05.01_C0030_02",$A:$I,9,0)&lt;&gt;"OK",CHAR(10)&amp;VLOOKUP("AMLA_VR_AML.05.01_C0030_02",$A:$I,9,0),"")&amp;IF(VLOOKUP("AMLA_VR_AML.05.01_C0030_03",$A:$I,9,0)&lt;&gt;"OK",CHAR(10)&amp;VLOOKUP("AMLA_VR_AML.05.01_C0030_03",$A:$I,9,0),""))=0,"OK",MID(IF(VLOOKUP("AMLA_VR_AML.05.01_C0030_01",$A:$I,9,0)&lt;&gt;"OK",CHAR(10)&amp;VLOOKUP("AMLA_VR_AML.05.01_C0030_01",$A:$I,9,0),"")&amp;IF(VLOOKUP("AMLA_VR_AML.05.01_C0030_02",$A:$I,9,0)&lt;&gt;"OK",CHAR(10)&amp;VLOOKUP("AMLA_VR_AML.05.01_C0030_02",$A:$I,9,0),"")&amp;IF(VLOOKUP("AMLA_VR_AML.05.01_C0030_03",$A:$I,9,0)&lt;&gt;"OK",CHAR(10)&amp;VLOOKUP("AMLA_VR_AML.05.01_C0030_03",$A:$I,9,0),""),2,3000))</f>
        <v>OK</v>
      </c>
      <c r="K432" s="161" t="s">
        <v>1775</v>
      </c>
    </row>
    <row r="433" spans="1:11">
      <c r="A433" s="159" t="str">
        <f>"AMLA_VR_" &amp; B433 &amp; "_" &amp; C433 &amp; "_" &amp; TEXT(COUNTIFS($B$2:B433, B433, $C$2:C433, C433), "00")</f>
        <v>AMLA_VR_AML.05.01_C0030_03</v>
      </c>
      <c r="B433" s="157" t="s">
        <v>316</v>
      </c>
      <c r="C433" s="157" t="s">
        <v>83</v>
      </c>
      <c r="D433" s="157" t="s">
        <v>1551</v>
      </c>
      <c r="E433" s="160" t="str" cm="1">
        <f t="array" aca="1" ref="E433" ca="1">IF(C433="", INDIRECT("'"&amp;B433&amp;"'!B3"), INDEX(INDIRECT("'"&amp;B433&amp;"'!5:5"), COLUMN(INDIRECT("'"&amp;B433&amp;"'!"&amp;D433))))</f>
        <v>Legal Entities</v>
      </c>
      <c r="F433" s="157" t="s">
        <v>1772</v>
      </c>
      <c r="G433" s="157" t="s">
        <v>1813</v>
      </c>
      <c r="H433" s="157" t="s">
        <v>1900</v>
      </c>
      <c r="I433" s="157" t="str">
        <f>IF('AML.05.01'!$D$11 &gt; 'AML.02.01'!$D$11, $G433 &amp; ": " &amp; $H433, "OK")</f>
        <v>OK</v>
      </c>
      <c r="J433" s="173" t="str">
        <f>IF(LEN(IF(VLOOKUP("AMLA_VR_AML.05.01_C0030_01",$A:$I,9,0)&lt;&gt;"OK",CHAR(10)&amp;VLOOKUP("AMLA_VR_AML.05.01_C0030_01",$A:$I,9,0),"")&amp;IF(VLOOKUP("AMLA_VR_AML.05.01_C0030_02",$A:$I,9,0)&lt;&gt;"OK",CHAR(10)&amp;VLOOKUP("AMLA_VR_AML.05.01_C0030_02",$A:$I,9,0),"")&amp;IF(VLOOKUP("AMLA_VR_AML.05.01_C0030_03",$A:$I,9,0)&lt;&gt;"OK",CHAR(10)&amp;VLOOKUP("AMLA_VR_AML.05.01_C0030_03",$A:$I,9,0),""))=0,"OK",MID(IF(VLOOKUP("AMLA_VR_AML.05.01_C0030_01",$A:$I,9,0)&lt;&gt;"OK",CHAR(10)&amp;VLOOKUP("AMLA_VR_AML.05.01_C0030_01",$A:$I,9,0),"")&amp;IF(VLOOKUP("AMLA_VR_AML.05.01_C0030_02",$A:$I,9,0)&lt;&gt;"OK",CHAR(10)&amp;VLOOKUP("AMLA_VR_AML.05.01_C0030_02",$A:$I,9,0),"")&amp;IF(VLOOKUP("AMLA_VR_AML.05.01_C0030_03",$A:$I,9,0)&lt;&gt;"OK",CHAR(10)&amp;VLOOKUP("AMLA_VR_AML.05.01_C0030_03",$A:$I,9,0),""),2,3000))</f>
        <v>OK</v>
      </c>
      <c r="K433" s="158" t="s">
        <v>1775</v>
      </c>
    </row>
    <row r="434" spans="1:11">
      <c r="A434" s="159" t="str">
        <f>"AMLA_VR_" &amp; B434 &amp; "_" &amp; C434 &amp; "_" &amp; TEXT(COUNTIFS($B$2:B434, B434, $C$2:C434, C434), "00")</f>
        <v>AMLA_VR_AML.05.01_C0040_01</v>
      </c>
      <c r="B434" s="160" t="s">
        <v>316</v>
      </c>
      <c r="C434" s="160" t="s">
        <v>84</v>
      </c>
      <c r="D434" s="160" t="s">
        <v>1552</v>
      </c>
      <c r="E434" s="160" t="str" cm="1">
        <f t="array" aca="1" ref="E434" ca="1">IF(C434="", INDIRECT("'"&amp;B434&amp;"'!B3"), INDEX(INDIRECT("'"&amp;B434&amp;"'!5:5"), COLUMN(INDIRECT("'"&amp;B434&amp;"'!"&amp;D434))))</f>
        <v>Natural Persons – PEPs, Family Members or Close Associates</v>
      </c>
      <c r="F434" s="157" t="s">
        <v>1772</v>
      </c>
      <c r="G434" s="160" t="s">
        <v>1773</v>
      </c>
      <c r="H434" s="160" t="s">
        <v>1821</v>
      </c>
      <c r="I434" s="160" t="str" cm="1">
        <f t="array" ref="I434">IF(SUMPRODUCT((TRIM(SUBSTITUTE('AML.05.01'!$E$11:E209,CHAR(160),""))&lt;&gt;"") * (IFERROR(VALUE(TRIM(SUBSTITUTE('AML.05.01'!$E$11:E209,CHAR(160),""))),0)&lt;0))=0, "OK", "there are (" &amp; SUMPRODUCT((TRIM(SUBSTITUTE('AML.05.01'!$E$11:E209,CHAR(160),""))&lt;&gt;"") * (IFERROR(VALUE(TRIM(SUBSTITUTE('AML.05.01'!$E$11:E209,CHAR(160),""))),0)&lt;0)) &amp; ") rows with " &amp; $G434 &amp; "(s) as " &amp; $H434)</f>
        <v>OK</v>
      </c>
      <c r="J434" s="172" t="str">
        <f>IF(LEN(IF(VLOOKUP("AMLA_VR_AML.05.01_C0040_01",$A:$I,9,0)&lt;&gt;"OK",CHAR(10)&amp;VLOOKUP("AMLA_VR_AML.05.01_C0040_01",$A:$I,9,0),"")&amp;IF(VLOOKUP("AMLA_VR_AML.05.01_C0040_02",$A:$I,9,0)&lt;&gt;"OK",CHAR(10)&amp;VLOOKUP("AMLA_VR_AML.05.01_C0040_02",$A:$I,9,0),""))=0,"OK",MID(IF(VLOOKUP("AMLA_VR_AML.05.01_C0040_01",$A:$I,9,0)&lt;&gt;"OK",CHAR(10)&amp;VLOOKUP("AMLA_VR_AML.05.01_C0040_01",$A:$I,9,0),"")&amp;IF(VLOOKUP("AMLA_VR_AML.05.01_C0040_02",$A:$I,9,0)&lt;&gt;"OK",CHAR(10)&amp;VLOOKUP("AMLA_VR_AML.05.01_C0040_02",$A:$I,9,0),""),2,3000))</f>
        <v>OK</v>
      </c>
      <c r="K434" s="161" t="s">
        <v>1775</v>
      </c>
    </row>
    <row r="435" spans="1:11">
      <c r="A435" s="159" t="str">
        <f>"AMLA_VR_" &amp; B435 &amp; "_" &amp; C435 &amp; "_" &amp; TEXT(COUNTIFS($B$2:B435, B435, $C$2:C435, C435), "00")</f>
        <v>AMLA_VR_AML.05.01_C0040_02</v>
      </c>
      <c r="B435" s="157" t="s">
        <v>316</v>
      </c>
      <c r="C435" s="157" t="s">
        <v>84</v>
      </c>
      <c r="D435" s="157" t="s">
        <v>1901</v>
      </c>
      <c r="E435" s="160" t="str" cm="1">
        <f t="array" aca="1" ref="E435" ca="1">IF(C435="", INDIRECT("'"&amp;B435&amp;"'!B3"), INDEX(INDIRECT("'"&amp;B435&amp;"'!5:5"), COLUMN(INDIRECT("'"&amp;B435&amp;"'!"&amp;D435))))</f>
        <v>Natural Persons – PEPs, Family Members or Close Associates</v>
      </c>
      <c r="F435" s="157" t="s">
        <v>1776</v>
      </c>
      <c r="G435" s="157" t="s">
        <v>1773</v>
      </c>
      <c r="H435" s="157" t="s">
        <v>1816</v>
      </c>
      <c r="I435" s="160" t="str" cm="1">
        <f t="array" ref="I435">IF(SUMPRODUCT((TRIM(SUBSTITUTE('AML.05.01'!$E$11:$E$200&amp;"",CHAR(160),""))&lt;&gt;"")*((ISERROR('AML.05.01'!$E$11:$E$200+0)+IFERROR(INT('AML.05.01'!$E$11:$E$200+0)&lt;&gt;('AML.05.01'!$E$11:$E$200+0),1))&gt;0))=0,"OK",$G435&amp;": "&amp;$H435&amp;" ("&amp;SUMPRODUCT((TRIM(SUBSTITUTE('AML.05.01'!$E$11:$E$200&amp;"",CHAR(160),""))&lt;&gt;"")*((ISERROR('AML.05.01'!$E$11:$E$200+0)+IFERROR(INT('AML.05.01'!$E$11:$E$200+0)&lt;&gt;('AML.05.01'!$E$11:$E$200+0),1))&gt;0))&amp;" rows)")</f>
        <v>OK</v>
      </c>
      <c r="J435" s="173" t="str">
        <f>IF(LEN(IF(VLOOKUP("AMLA_VR_AML.05.01_C0040_01",$A:$I,9,0)&lt;&gt;"OK",CHAR(10)&amp;VLOOKUP("AMLA_VR_AML.05.01_C0040_01",$A:$I,9,0),"")&amp;IF(VLOOKUP("AMLA_VR_AML.05.01_C0040_02",$A:$I,9,0)&lt;&gt;"OK",CHAR(10)&amp;VLOOKUP("AMLA_VR_AML.05.01_C0040_02",$A:$I,9,0),""))=0,"OK",MID(IF(VLOOKUP("AMLA_VR_AML.05.01_C0040_01",$A:$I,9,0)&lt;&gt;"OK",CHAR(10)&amp;VLOOKUP("AMLA_VR_AML.05.01_C0040_01",$A:$I,9,0),"")&amp;IF(VLOOKUP("AMLA_VR_AML.05.01_C0040_02",$A:$I,9,0)&lt;&gt;"OK",CHAR(10)&amp;VLOOKUP("AMLA_VR_AML.05.01_C0040_02",$A:$I,9,0),""),2,3000))</f>
        <v>OK</v>
      </c>
      <c r="K435" s="158" t="s">
        <v>1775</v>
      </c>
    </row>
    <row r="436" spans="1:11">
      <c r="A436" s="159" t="str">
        <f>"AMLA_VR_" &amp; B436 &amp; "_" &amp; C436 &amp; "_" &amp; TEXT(COUNTIFS($B$2:B436, B436, $C$2:C436, C436), "00")</f>
        <v>AMLA_VR_AML.05.01_C0050_01</v>
      </c>
      <c r="B436" s="157" t="s">
        <v>316</v>
      </c>
      <c r="C436" s="157" t="s">
        <v>85</v>
      </c>
      <c r="D436" s="157" t="s">
        <v>1553</v>
      </c>
      <c r="E436" s="160" t="str" cm="1">
        <f t="array" aca="1" ref="E436" ca="1">IF(C436="", INDIRECT("'"&amp;B436&amp;"'!B3"), INDEX(INDIRECT("'"&amp;B436&amp;"'!5:5"), COLUMN(INDIRECT("'"&amp;B436&amp;"'!"&amp;D436))))</f>
        <v>Legal Entities – PEPs, Family Members or Close Associates as BOs</v>
      </c>
      <c r="F436" s="157" t="s">
        <v>1772</v>
      </c>
      <c r="G436" s="157" t="s">
        <v>1773</v>
      </c>
      <c r="H436" s="157" t="s">
        <v>1822</v>
      </c>
      <c r="I436" s="160" t="str" cm="1">
        <f t="array" ref="I436">IF(SUMPRODUCT((TRIM(SUBSTITUTE('AML.05.01'!$F$11:$F261,CHAR(160),""))&lt;&gt;"") * (IFERROR(VALUE(TRIM(SUBSTITUTE('AML.05.01'!$F$11:$F261,CHAR(160),""))),0)&lt;0))=0, "OK", "there are (" &amp; SUMPRODUCT((TRIM(SUBSTITUTE('AML.05.01'!$F$11:$F261,CHAR(160),""))&lt;&gt;"") * (IFERROR(VALUE(TRIM(SUBSTITUTE('AML.05.01'!$F$11:$F261,CHAR(160),""))),0)&lt;0)) &amp; ") rows with " &amp; $G436 &amp; "(s) as " &amp; $H436)</f>
        <v>OK</v>
      </c>
      <c r="J436" s="173" t="str">
        <f>IF(LEN(IF(VLOOKUP("AMLA_VR_AML.05.01_C0050_01",$A:$I,9,0)&lt;&gt;"OK",CHAR(10)&amp;VLOOKUP("AMLA_VR_AML.05.01_C0050_01",$A:$I,9,0),"")&amp;IF(VLOOKUP("AMLA_VR_AML.05.01_C0050_02",$A:$I,9,0)&lt;&gt;"OK",CHAR(10)&amp;VLOOKUP("AMLA_VR_AML.05.01_C0050_02",$A:$I,9,0),""))=0,"OK",MID(IF(VLOOKUP("AMLA_VR_AML.05.01_C0050_01",$A:$I,9,0)&lt;&gt;"OK",CHAR(10)&amp;VLOOKUP("AMLA_VR_AML.05.01_C0050_01",$A:$I,9,0),"")&amp;IF(VLOOKUP("AMLA_VR_AML.05.01_C0050_02",$A:$I,9,0)&lt;&gt;"OK",CHAR(10)&amp;VLOOKUP("AMLA_VR_AML.05.01_C0050_02",$A:$I,9,0),""),2,3000))</f>
        <v>OK</v>
      </c>
      <c r="K436" s="158" t="s">
        <v>1775</v>
      </c>
    </row>
    <row r="437" spans="1:11">
      <c r="A437" s="159" t="str">
        <f>"AMLA_VR_" &amp; B437 &amp; "_" &amp; C437 &amp; "_" &amp; TEXT(COUNTIFS($B$2:B437, B437, $C$2:C437, C437), "00")</f>
        <v>AMLA_VR_AML.05.01_C0050_02</v>
      </c>
      <c r="B437" s="160" t="s">
        <v>316</v>
      </c>
      <c r="C437" s="160" t="s">
        <v>85</v>
      </c>
      <c r="D437" s="160" t="s">
        <v>1902</v>
      </c>
      <c r="E437" s="160" t="str" cm="1">
        <f t="array" aca="1" ref="E437" ca="1">IF(C437="", INDIRECT("'"&amp;B437&amp;"'!B3"), INDEX(INDIRECT("'"&amp;B437&amp;"'!5:5"), COLUMN(INDIRECT("'"&amp;B437&amp;"'!"&amp;D437))))</f>
        <v>Legal Entities – PEPs, Family Members or Close Associates as BOs</v>
      </c>
      <c r="F437" s="160" t="s">
        <v>1776</v>
      </c>
      <c r="G437" s="160" t="s">
        <v>1773</v>
      </c>
      <c r="H437" s="160" t="s">
        <v>1816</v>
      </c>
      <c r="I437" s="160" t="str" cm="1">
        <f t="array" ref="I437">IF(SUMPRODUCT((TRIM(SUBSTITUTE('AML.05.01'!$F$11:$F$200&amp;"",CHAR(160),""))&lt;&gt;"")*((ISERROR('AML.05.01'!$F$11:$F$200+0)+IFERROR(INT('AML.05.01'!$F$11:$F$200+0)&lt;&gt;('AML.05.01'!$F$11:$F$200+0),1))&gt;0))=0,"OK",$G437&amp;": "&amp;$H437&amp;" ("&amp;SUMPRODUCT((TRIM(SUBSTITUTE('AML.05.01'!$F$11:$F$200&amp;"",CHAR(160),""))&lt;&gt;"")*((ISERROR('AML.05.01'!$F$11:$F$200+0)+IFERROR(INT('AML.05.01'!$F$11:$F$200+0)&lt;&gt;('AML.05.01'!$F$11:$F$200+0),1))&gt;0))&amp;" rows)")</f>
        <v>OK</v>
      </c>
      <c r="J437" s="172" t="str">
        <f>IF(LEN(IF(VLOOKUP("AMLA_VR_AML.05.01_C0050_01",$A:$I,9,0)&lt;&gt;"OK",CHAR(10)&amp;VLOOKUP("AMLA_VR_AML.05.01_C0050_01",$A:$I,9,0),"")&amp;IF(VLOOKUP("AMLA_VR_AML.05.01_C0050_02",$A:$I,9,0)&lt;&gt;"OK",CHAR(10)&amp;VLOOKUP("AMLA_VR_AML.05.01_C0050_02",$A:$I,9,0),""))=0,"OK",MID(IF(VLOOKUP("AMLA_VR_AML.05.01_C0050_01",$A:$I,9,0)&lt;&gt;"OK",CHAR(10)&amp;VLOOKUP("AMLA_VR_AML.05.01_C0050_01",$A:$I,9,0),"")&amp;IF(VLOOKUP("AMLA_VR_AML.05.01_C0050_02",$A:$I,9,0)&lt;&gt;"OK",CHAR(10)&amp;VLOOKUP("AMLA_VR_AML.05.01_C0050_02",$A:$I,9,0),""),2,3000))</f>
        <v>OK</v>
      </c>
      <c r="K437" s="161" t="s">
        <v>1775</v>
      </c>
    </row>
    <row r="438" spans="1:11">
      <c r="A438" s="159" t="str">
        <f>"AMLA_VR_" &amp; B438 &amp; "_" &amp; C438 &amp; "_" &amp; TEXT(COUNTIFS($B$2:B438, B438, $C$2:C438, C438), "00")</f>
        <v>AMLA_VR_AML.05.01_C0060_01</v>
      </c>
      <c r="B438" s="160" t="s">
        <v>316</v>
      </c>
      <c r="C438" s="160" t="s">
        <v>86</v>
      </c>
      <c r="D438" s="160" t="s">
        <v>1554</v>
      </c>
      <c r="E438" s="160" t="str" cm="1">
        <f t="array" aca="1" ref="E438" ca="1">IF(C438="", INDIRECT("'"&amp;B438&amp;"'!B3"), INDEX(INDIRECT("'"&amp;B438&amp;"'!5:5"), COLUMN(INDIRECT("'"&amp;B438&amp;"'!"&amp;D438))))</f>
        <v>Transactions (Incoming) – Number</v>
      </c>
      <c r="F438" s="157" t="s">
        <v>1772</v>
      </c>
      <c r="G438" s="160" t="s">
        <v>1773</v>
      </c>
      <c r="H438" s="160" t="s">
        <v>1823</v>
      </c>
      <c r="I438" s="160" t="str" cm="1">
        <f t="array" ref="I438">IF(SUMPRODUCT((TRIM(SUBSTITUTE('AML.05.01'!$G$11:G209,CHAR(160),""))&lt;&gt;"") * (IFERROR(VALUE(TRIM(SUBSTITUTE('AML.05.01'!$G$11:G209,CHAR(160),""))),0)&lt;0))=0, "OK", "there are (" &amp; SUMPRODUCT((TRIM(SUBSTITUTE('AML.05.01'!$G$11:G209,CHAR(160),""))&lt;&gt;"") * (IFERROR(VALUE(TRIM(SUBSTITUTE('AML.05.01'!$G$11:G209,CHAR(160),""))),0)&lt;0)) &amp; ") rows with " &amp; $G438 &amp; "(s) as " &amp; $H438)</f>
        <v>OK</v>
      </c>
      <c r="J438" s="172" t="str">
        <f>IF(LEN(IF(VLOOKUP("AMLA_VR_AML.05.01_C0060_01",$A:$I,9,0)&lt;&gt;"OK",CHAR(10)&amp;VLOOKUP("AMLA_VR_AML.05.01_C0060_01",$A:$I,9,0),"")&amp;IF(VLOOKUP("AMLA_VR_AML.05.01_C0060_02",$A:$I,9,0)&lt;&gt;"OK",CHAR(10)&amp;VLOOKUP("AMLA_VR_AML.05.01_C0060_02",$A:$I,9,0),"")&amp;IF(VLOOKUP("AMLA_VR_AML.05.01_C0060_03",$A:$I,9,0)&lt;&gt;"OK",CHAR(10)&amp;VLOOKUP("AMLA_VR_AML.05.01_C0060_03",$A:$I,9,0),""))=0,"OK",MID(IF(VLOOKUP("AMLA_VR_AML.05.01_C0060_01",$A:$I,9,0)&lt;&gt;"OK",CHAR(10)&amp;VLOOKUP("AMLA_VR_AML.05.01_C0060_01",$A:$I,9,0),"")&amp;IF(VLOOKUP("AMLA_VR_AML.05.01_C0060_02",$A:$I,9,0)&lt;&gt;"OK",CHAR(10)&amp;VLOOKUP("AMLA_VR_AML.05.01_C0060_02",$A:$I,9,0),"")&amp;IF(VLOOKUP("AMLA_VR_AML.05.01_C0060_03",$A:$I,9,0)&lt;&gt;"OK",CHAR(10)&amp;VLOOKUP("AMLA_VR_AML.05.01_C0060_03",$A:$I,9,0),""),2,3000))</f>
        <v>OK</v>
      </c>
      <c r="K438" s="161" t="s">
        <v>1775</v>
      </c>
    </row>
    <row r="439" spans="1:11">
      <c r="A439" s="159" t="str">
        <f>"AMLA_VR_" &amp; B439 &amp; "_" &amp; C439 &amp; "_" &amp; TEXT(COUNTIFS($B$2:B439, B439, $C$2:C439, C439), "00")</f>
        <v>AMLA_VR_AML.05.01_C0060_02</v>
      </c>
      <c r="B439" s="157" t="s">
        <v>316</v>
      </c>
      <c r="C439" s="157" t="s">
        <v>86</v>
      </c>
      <c r="D439" s="157" t="s">
        <v>1903</v>
      </c>
      <c r="E439" s="160" t="str" cm="1">
        <f t="array" aca="1" ref="E439" ca="1">IF(C439="", INDIRECT("'"&amp;B439&amp;"'!B3"), INDEX(INDIRECT("'"&amp;B439&amp;"'!5:5"), COLUMN(INDIRECT("'"&amp;B439&amp;"'!"&amp;D439))))</f>
        <v>Transactions (Incoming) – Number</v>
      </c>
      <c r="F439" s="157" t="s">
        <v>1776</v>
      </c>
      <c r="G439" s="157" t="s">
        <v>1773</v>
      </c>
      <c r="H439" s="157" t="s">
        <v>1816</v>
      </c>
      <c r="I439" s="160" t="str" cm="1">
        <f t="array" ref="I439">IF(SUMPRODUCT((TRIM(SUBSTITUTE('AML.05.01'!$G$11:$G$200&amp;"",CHAR(160),""))&lt;&gt;"")*((ISERROR('AML.05.01'!$G$11:$G$200+0)+IFERROR(INT('AML.05.01'!$G$11:$G$200+0)&lt;&gt;('AML.05.01'!$G$11:$G$200+0),1))&gt;0))=0,"OK",$G439&amp;": "&amp;$H439&amp;" ("&amp;SUMPRODUCT((TRIM(SUBSTITUTE('AML.05.01'!$G$11:$G$200&amp;"",CHAR(160),""))&lt;&gt;"")*((ISERROR('AML.05.01'!$G$11:$G$200+0)+IFERROR(INT('AML.05.01'!$G$11:$G$200+0)&lt;&gt;('AML.05.01'!$G$11:$G$200+0),1))&gt;0))&amp;" rows)")</f>
        <v>OK</v>
      </c>
      <c r="J439" s="173" t="str">
        <f>IF(LEN(IF(VLOOKUP("AMLA_VR_AML.05.01_C0060_01",$A:$I,9,0)&lt;&gt;"OK",CHAR(10)&amp;VLOOKUP("AMLA_VR_AML.05.01_C0060_01",$A:$I,9,0),"")&amp;IF(VLOOKUP("AMLA_VR_AML.05.01_C0060_02",$A:$I,9,0)&lt;&gt;"OK",CHAR(10)&amp;VLOOKUP("AMLA_VR_AML.05.01_C0060_02",$A:$I,9,0),"")&amp;IF(VLOOKUP("AMLA_VR_AML.05.01_C0060_03",$A:$I,9,0)&lt;&gt;"OK",CHAR(10)&amp;VLOOKUP("AMLA_VR_AML.05.01_C0060_03",$A:$I,9,0),""))=0,"OK",MID(IF(VLOOKUP("AMLA_VR_AML.05.01_C0060_01",$A:$I,9,0)&lt;&gt;"OK",CHAR(10)&amp;VLOOKUP("AMLA_VR_AML.05.01_C0060_01",$A:$I,9,0),"")&amp;IF(VLOOKUP("AMLA_VR_AML.05.01_C0060_02",$A:$I,9,0)&lt;&gt;"OK",CHAR(10)&amp;VLOOKUP("AMLA_VR_AML.05.01_C0060_02",$A:$I,9,0),"")&amp;IF(VLOOKUP("AMLA_VR_AML.05.01_C0060_03",$A:$I,9,0)&lt;&gt;"OK",CHAR(10)&amp;VLOOKUP("AMLA_VR_AML.05.01_C0060_03",$A:$I,9,0),""),2,3000))</f>
        <v>OK</v>
      </c>
      <c r="K439" s="158" t="s">
        <v>1775</v>
      </c>
    </row>
    <row r="440" spans="1:11">
      <c r="A440" s="159" t="str">
        <f>"AMLA_VR_" &amp; B440 &amp; "_" &amp; C440 &amp; "_" &amp; TEXT(COUNTIFS($B$2:B440, B440, $C$2:C440, C440), "00")</f>
        <v>AMLA_VR_AML.05.01_C0060_03</v>
      </c>
      <c r="B440" s="157" t="s">
        <v>316</v>
      </c>
      <c r="C440" s="157" t="s">
        <v>86</v>
      </c>
      <c r="D440" s="157" t="s">
        <v>1554</v>
      </c>
      <c r="E440" s="160" t="str" cm="1">
        <f t="array" aca="1" ref="E440" ca="1">IF(C440="", INDIRECT("'"&amp;B440&amp;"'!B3"), INDEX(INDIRECT("'"&amp;B440&amp;"'!5:5"), COLUMN(INDIRECT("'"&amp;B440&amp;"'!"&amp;D440))))</f>
        <v>Transactions (Incoming) – Number</v>
      </c>
      <c r="F440" s="157" t="s">
        <v>1772</v>
      </c>
      <c r="G440" s="157" t="s">
        <v>1813</v>
      </c>
      <c r="H440" s="157" t="s">
        <v>1871</v>
      </c>
      <c r="I440" s="160" t="str" cm="1">
        <f t="array" ref="I440">IF(SUMPRODUCT((IFERROR(VALUE(TRIM(SUBSTITUTE('AML.05.01'!$G$11:G209,CHAR(160),""))),0)=0) * (IFERROR(VALUE(TRIM(SUBSTITUTE('AML.05.01'!$H$11:H209,CHAR(160),""))),0)&gt;0))=0, "OK", "there are (" &amp; SUMPRODUCT((IFERROR(VALUE(TRIM(SUBSTITUTE('AML.05.01'!$G$11:G209,CHAR(160),""))),0)=0) * (IFERROR(VALUE(TRIM(SUBSTITUTE('AML.05.01'!$H$11:H209,CHAR(160),""))),0)&gt;0)) &amp; ") rows with " &amp; $G440 &amp; "(s) as " &amp; $H440)</f>
        <v>OK</v>
      </c>
      <c r="J440" s="173" t="str">
        <f>IF(LEN(IF(VLOOKUP("AMLA_VR_AML.05.01_C0060_01",$A:$I,9,0)&lt;&gt;"OK",CHAR(10)&amp;VLOOKUP("AMLA_VR_AML.05.01_C0060_01",$A:$I,9,0),"")&amp;IF(VLOOKUP("AMLA_VR_AML.05.01_C0060_02",$A:$I,9,0)&lt;&gt;"OK",CHAR(10)&amp;VLOOKUP("AMLA_VR_AML.05.01_C0060_02",$A:$I,9,0),"")&amp;IF(VLOOKUP("AMLA_VR_AML.05.01_C0060_03",$A:$I,9,0)&lt;&gt;"OK",CHAR(10)&amp;VLOOKUP("AMLA_VR_AML.05.01_C0060_03",$A:$I,9,0),""))=0,"OK",MID(IF(VLOOKUP("AMLA_VR_AML.05.01_C0060_01",$A:$I,9,0)&lt;&gt;"OK",CHAR(10)&amp;VLOOKUP("AMLA_VR_AML.05.01_C0060_01",$A:$I,9,0),"")&amp;IF(VLOOKUP("AMLA_VR_AML.05.01_C0060_02",$A:$I,9,0)&lt;&gt;"OK",CHAR(10)&amp;VLOOKUP("AMLA_VR_AML.05.01_C0060_02",$A:$I,9,0),"")&amp;IF(VLOOKUP("AMLA_VR_AML.05.01_C0060_03",$A:$I,9,0)&lt;&gt;"OK",CHAR(10)&amp;VLOOKUP("AMLA_VR_AML.05.01_C0060_03",$A:$I,9,0),""),2,3000))</f>
        <v>OK</v>
      </c>
      <c r="K440" s="158" t="s">
        <v>1775</v>
      </c>
    </row>
    <row r="441" spans="1:11">
      <c r="A441" s="159" t="str">
        <f>"AMLA_VR_" &amp; B441 &amp; "_" &amp; C441 &amp; "_" &amp; TEXT(COUNTIFS($B$2:B441, B441, $C$2:C441, C441), "00")</f>
        <v>AMLA_VR_AML.05.01_C0070_01</v>
      </c>
      <c r="B441" s="160" t="s">
        <v>316</v>
      </c>
      <c r="C441" s="160" t="s">
        <v>87</v>
      </c>
      <c r="D441" s="160" t="s">
        <v>1555</v>
      </c>
      <c r="E441" s="160" t="str" cm="1">
        <f t="array" aca="1" ref="E441" ca="1">IF(C441="", INDIRECT("'"&amp;B441&amp;"'!B3"), INDEX(INDIRECT("'"&amp;B441&amp;"'!5:5"), COLUMN(INDIRECT("'"&amp;B441&amp;"'!"&amp;D441))))</f>
        <v>Transactions (Incoming) - Value</v>
      </c>
      <c r="F441" s="157" t="s">
        <v>1772</v>
      </c>
      <c r="G441" s="160" t="s">
        <v>1773</v>
      </c>
      <c r="H441" s="160" t="s">
        <v>1824</v>
      </c>
      <c r="I441" s="160" t="str" cm="1">
        <f t="array" ref="I441">IF(SUMPRODUCT((TRIM(SUBSTITUTE('AML.05.01'!$H$11:H209,CHAR(160),""))&lt;&gt;"") * (IFERROR(VALUE(TRIM(SUBSTITUTE('AML.05.01'!$H$11:H209,CHAR(160),""))),0)&lt;0))=0, "OK", "there are (" &amp; SUMPRODUCT((TRIM(SUBSTITUTE('AML.05.01'!$H$11:H209,CHAR(160),""))&lt;&gt;"") * (IFERROR(VALUE(TRIM(SUBSTITUTE('AML.05.01'!$H$11:H209,CHAR(160),""))),0)&lt;0)) &amp; ") rows with " &amp; $G441 &amp; "(s) as " &amp; $H441)</f>
        <v>OK</v>
      </c>
      <c r="J441" s="57" t="str">
        <f>IF(LEN(IF(VLOOKUP("AMLA_VR_AML.05.01_C0070_01",$A:$I,9,0)&lt;&gt;"OK",CHAR(10)&amp;VLOOKUP("AMLA_VR_AML.05.01_C0070_01",$A:$I,9,0),"")&amp;IF(VLOOKUP("AMLA_VR_AML.05.01_C0070_02",$A:$I,9,0)&lt;&gt;"OK",CHAR(10)&amp;VLOOKUP("AMLA_VR_AML.05.01_C0070_02",$A:$I,9,0),"")&amp;IF(VLOOKUP("AMLA_VR_AML.05.01_C0070_03",$A:$I,9,0)&lt;&gt;"OK",CHAR(10)&amp;VLOOKUP("AMLA_VR_AML.05.01_C0070_03",$A:$I,9,0),""))=0,"OK",MID(IF(VLOOKUP("AMLA_VR_AML.05.01_C0070_01",$A:$I,9,0)&lt;&gt;"OK",CHAR(10)&amp;VLOOKUP("AMLA_VR_AML.05.01_C0070_01",$A:$I,9,0),"")&amp;IF(VLOOKUP("AMLA_VR_AML.05.01_C0070_02",$A:$I,9,0)&lt;&gt;"OK",CHAR(10)&amp;VLOOKUP("AMLA_VR_AML.05.01_C0070_02",$A:$I,9,0),"")&amp;IF(VLOOKUP("AMLA_VR_AML.05.01_C0070_03",$A:$I,9,0)&lt;&gt;"OK",CHAR(10)&amp;VLOOKUP("AMLA_VR_AML.05.01_C0070_03",$A:$I,9,0),""),2,3000))</f>
        <v>OK</v>
      </c>
      <c r="K441" s="161" t="s">
        <v>1775</v>
      </c>
    </row>
    <row r="442" spans="1:11">
      <c r="A442" s="159" t="str">
        <f>"AMLA_VR_" &amp; B442 &amp; "_" &amp; C442 &amp; "_" &amp; TEXT(COUNTIFS($B$2:B442, B442, $C$2:C442, C442), "00")</f>
        <v>AMLA_VR_AML.05.01_C0070_02</v>
      </c>
      <c r="B442" s="160" t="s">
        <v>316</v>
      </c>
      <c r="C442" s="160" t="s">
        <v>87</v>
      </c>
      <c r="D442" s="160" t="s">
        <v>1904</v>
      </c>
      <c r="E442" s="160" t="str" cm="1">
        <f t="array" aca="1" ref="E442" ca="1">IF(C442="", INDIRECT("'"&amp;B442&amp;"'!B3"), INDEX(INDIRECT("'"&amp;B442&amp;"'!5:5"), COLUMN(INDIRECT("'"&amp;B442&amp;"'!"&amp;D442))))</f>
        <v>Transactions (Incoming) - Value</v>
      </c>
      <c r="F442" s="160" t="s">
        <v>1776</v>
      </c>
      <c r="G442" s="160" t="s">
        <v>1773</v>
      </c>
      <c r="H442" s="160" t="s">
        <v>1837</v>
      </c>
      <c r="I442" s="160" t="str">
        <f>IF(SUMPRODUCT((TRIM(SUBSTITUTE('AML.05.01'!$H$11:$H$200&amp;"",CHAR(160),""))&lt;&gt;"")*(NOT(ISNUMBER('AML.05.01'!$H$11:$H$200))))=0,"OK",$G442&amp;": "&amp;$H442&amp;" ("&amp;SUMPRODUCT((TRIM(SUBSTITUTE('AML.05.01'!$H$11:$H$200&amp;"",CHAR(160),""))&lt;&gt;"")*(NOT(ISNUMBER('AML.05.01'!$H$11:$H$200))))&amp;" rows)")</f>
        <v>OK</v>
      </c>
      <c r="J442" s="57" t="str">
        <f>IF(LEN(IF(VLOOKUP("AMLA_VR_AML.05.01_C0070_01",$A:$I,9,0)&lt;&gt;"OK",CHAR(10)&amp;VLOOKUP("AMLA_VR_AML.05.01_C0070_01",$A:$I,9,0),"")&amp;IF(VLOOKUP("AMLA_VR_AML.05.01_C0070_02",$A:$I,9,0)&lt;&gt;"OK",CHAR(10)&amp;VLOOKUP("AMLA_VR_AML.05.01_C0070_02",$A:$I,9,0),"")&amp;IF(VLOOKUP("AMLA_VR_AML.05.01_C0070_03",$A:$I,9,0)&lt;&gt;"OK",CHAR(10)&amp;VLOOKUP("AMLA_VR_AML.05.01_C0070_03",$A:$I,9,0),""))=0,"OK",MID(IF(VLOOKUP("AMLA_VR_AML.05.01_C0070_01",$A:$I,9,0)&lt;&gt;"OK",CHAR(10)&amp;VLOOKUP("AMLA_VR_AML.05.01_C0070_01",$A:$I,9,0),"")&amp;IF(VLOOKUP("AMLA_VR_AML.05.01_C0070_02",$A:$I,9,0)&lt;&gt;"OK",CHAR(10)&amp;VLOOKUP("AMLA_VR_AML.05.01_C0070_02",$A:$I,9,0),"")&amp;IF(VLOOKUP("AMLA_VR_AML.05.01_C0070_03",$A:$I,9,0)&lt;&gt;"OK",CHAR(10)&amp;VLOOKUP("AMLA_VR_AML.05.01_C0070_03",$A:$I,9,0),""),2,3000))</f>
        <v>OK</v>
      </c>
      <c r="K442" s="161" t="s">
        <v>1775</v>
      </c>
    </row>
    <row r="443" spans="1:11">
      <c r="A443" s="159" t="str">
        <f>"AMLA_VR_" &amp; B443 &amp; "_" &amp; C443 &amp; "_" &amp; TEXT(COUNTIFS($B$2:B443, B443, $C$2:C443, C443), "00")</f>
        <v>AMLA_VR_AML.05.01_C0070_03</v>
      </c>
      <c r="B443" s="157" t="s">
        <v>316</v>
      </c>
      <c r="C443" s="157" t="s">
        <v>87</v>
      </c>
      <c r="D443" s="157" t="s">
        <v>1555</v>
      </c>
      <c r="E443" s="160" t="str" cm="1">
        <f t="array" aca="1" ref="E443" ca="1">IF(C443="", INDIRECT("'"&amp;B443&amp;"'!B3"), INDEX(INDIRECT("'"&amp;B443&amp;"'!5:5"), COLUMN(INDIRECT("'"&amp;B443&amp;"'!"&amp;D443))))</f>
        <v>Transactions (Incoming) - Value</v>
      </c>
      <c r="F443" s="157" t="s">
        <v>1772</v>
      </c>
      <c r="G443" s="157" t="s">
        <v>1813</v>
      </c>
      <c r="H443" s="157" t="s">
        <v>1874</v>
      </c>
      <c r="I443" s="160" t="str" cm="1">
        <f t="array" ref="I443">IF(SUMPRODUCT((IFERROR(VALUE(TRIM(SUBSTITUTE('AML.05.01'!$H$11:H209,CHAR(160),""))),0)=0) * (IFERROR(VALUE(TRIM(SUBSTITUTE('AML.05.01'!$G$11:G209,CHAR(160),""))),0)&gt;0))=0, "OK", "there are (" &amp; SUMPRODUCT((IFERROR(VALUE(TRIM(SUBSTITUTE('AML.05.01'!$H$11:H209,CHAR(160),""))),0)=0) * (IFERROR(VALUE(TRIM(SUBSTITUTE('AML.05.01'!$G$11:G209,CHAR(160),""))),0)&gt;0)) &amp; ") rows with " &amp; $G443 &amp; "(s) as " &amp; $H443)</f>
        <v>OK</v>
      </c>
      <c r="J443" s="171" t="str">
        <f>IF(LEN(IF(VLOOKUP("AMLA_VR_AML.05.01_C0070_01",$A:$I,9,0)&lt;&gt;"OK",CHAR(10)&amp;VLOOKUP("AMLA_VR_AML.05.01_C0070_01",$A:$I,9,0),"")&amp;IF(VLOOKUP("AMLA_VR_AML.05.01_C0070_02",$A:$I,9,0)&lt;&gt;"OK",CHAR(10)&amp;VLOOKUP("AMLA_VR_AML.05.01_C0070_02",$A:$I,9,0),"")&amp;IF(VLOOKUP("AMLA_VR_AML.05.01_C0070_03",$A:$I,9,0)&lt;&gt;"OK",CHAR(10)&amp;VLOOKUP("AMLA_VR_AML.05.01_C0070_03",$A:$I,9,0),""))=0,"OK",MID(IF(VLOOKUP("AMLA_VR_AML.05.01_C0070_01",$A:$I,9,0)&lt;&gt;"OK",CHAR(10)&amp;VLOOKUP("AMLA_VR_AML.05.01_C0070_01",$A:$I,9,0),"")&amp;IF(VLOOKUP("AMLA_VR_AML.05.01_C0070_02",$A:$I,9,0)&lt;&gt;"OK",CHAR(10)&amp;VLOOKUP("AMLA_VR_AML.05.01_C0070_02",$A:$I,9,0),"")&amp;IF(VLOOKUP("AMLA_VR_AML.05.01_C0070_03",$A:$I,9,0)&lt;&gt;"OK",CHAR(10)&amp;VLOOKUP("AMLA_VR_AML.05.01_C0070_03",$A:$I,9,0),""),2,3000))</f>
        <v>OK</v>
      </c>
      <c r="K443" s="158" t="s">
        <v>1775</v>
      </c>
    </row>
    <row r="444" spans="1:11">
      <c r="A444" s="159" t="str">
        <f>"AMLA_VR_" &amp; B444 &amp; "_" &amp; C444 &amp; "_" &amp; TEXT(COUNTIFS($B$2:B444, B444, $C$2:C444, C444), "00")</f>
        <v>AMLA_VR_AML.05.01_C0080_01</v>
      </c>
      <c r="B444" s="160" t="s">
        <v>316</v>
      </c>
      <c r="C444" s="160" t="s">
        <v>88</v>
      </c>
      <c r="D444" s="160" t="s">
        <v>1556</v>
      </c>
      <c r="E444" s="160" t="str" cm="1">
        <f t="array" aca="1" ref="E444" ca="1">IF(C444="", INDIRECT("'"&amp;B444&amp;"'!B3"), INDEX(INDIRECT("'"&amp;B444&amp;"'!5:5"), COLUMN(INDIRECT("'"&amp;B444&amp;"'!"&amp;D444))))</f>
        <v>Transactions (Outgoing) - Number</v>
      </c>
      <c r="F444" s="157" t="s">
        <v>1772</v>
      </c>
      <c r="G444" s="160" t="s">
        <v>1773</v>
      </c>
      <c r="H444" s="160" t="s">
        <v>1825</v>
      </c>
      <c r="I444" s="160" t="str" cm="1">
        <f t="array" ref="I444">IF(SUMPRODUCT((TRIM(SUBSTITUTE('AML.05.01'!$I$11:I209,CHAR(160),""))&lt;&gt;"") * (IFERROR(VALUE(TRIM(SUBSTITUTE('AML.05.01'!$I$11:I209,CHAR(160),""))),0)&lt;0))=0, "OK", "there are (" &amp; SUMPRODUCT((TRIM(SUBSTITUTE('AML.05.01'!$I$11:I209,CHAR(160),""))&lt;&gt;"") * (IFERROR(VALUE(TRIM(SUBSTITUTE('AML.05.01'!$I$11:I209,CHAR(160),""))),0)&lt;0)) &amp; ") rows with " &amp; $G444 &amp; "(s) as " &amp; $H444)</f>
        <v>OK</v>
      </c>
      <c r="J444" s="172" t="str">
        <f>IF(LEN(IF(VLOOKUP("AMLA_VR_AML.05.01_C0080_01",$A:$I,9,0)&lt;&gt;"OK",CHAR(10)&amp;VLOOKUP("AMLA_VR_AML.05.01_C0080_01",$A:$I,9,0),"")&amp;IF(VLOOKUP("AMLA_VR_AML.05.01_C0080_02",$A:$I,9,0)&lt;&gt;"OK",CHAR(10)&amp;VLOOKUP("AMLA_VR_AML.05.01_C0080_02",$A:$I,9,0),"")&amp;IF(VLOOKUP("AMLA_VR_AML.05.01_C0080_03",$A:$I,9,0)&lt;&gt;"OK",CHAR(10)&amp;VLOOKUP("AMLA_VR_AML.05.01_C0080_03",$A:$I,9,0),""))=0,"OK",MID(IF(VLOOKUP("AMLA_VR_AML.05.01_C0080_01",$A:$I,9,0)&lt;&gt;"OK",CHAR(10)&amp;VLOOKUP("AMLA_VR_AML.05.01_C0080_01",$A:$I,9,0),"")&amp;IF(VLOOKUP("AMLA_VR_AML.05.01_C0080_02",$A:$I,9,0)&lt;&gt;"OK",CHAR(10)&amp;VLOOKUP("AMLA_VR_AML.05.01_C0080_02",$A:$I,9,0),"")&amp;IF(VLOOKUP("AMLA_VR_AML.05.01_C0080_03",$A:$I,9,0)&lt;&gt;"OK",CHAR(10)&amp;VLOOKUP("AMLA_VR_AML.05.01_C0080_03",$A:$I,9,0),""),2,3000))</f>
        <v>OK</v>
      </c>
      <c r="K444" s="161" t="s">
        <v>1775</v>
      </c>
    </row>
    <row r="445" spans="1:11">
      <c r="A445" s="159" t="str">
        <f>"AMLA_VR_" &amp; B445 &amp; "_" &amp; C445 &amp; "_" &amp; TEXT(COUNTIFS($B$2:B445, B445, $C$2:C445, C445), "00")</f>
        <v>AMLA_VR_AML.05.01_C0080_02</v>
      </c>
      <c r="B445" s="157" t="s">
        <v>316</v>
      </c>
      <c r="C445" s="157" t="s">
        <v>88</v>
      </c>
      <c r="D445" s="157" t="s">
        <v>1905</v>
      </c>
      <c r="E445" s="160" t="str" cm="1">
        <f t="array" aca="1" ref="E445" ca="1">IF(C445="", INDIRECT("'"&amp;B445&amp;"'!B3"), INDEX(INDIRECT("'"&amp;B445&amp;"'!5:5"), COLUMN(INDIRECT("'"&amp;B445&amp;"'!"&amp;D445))))</f>
        <v>Transactions (Outgoing) - Number</v>
      </c>
      <c r="F445" s="157" t="s">
        <v>1776</v>
      </c>
      <c r="G445" s="157" t="s">
        <v>1773</v>
      </c>
      <c r="H445" s="157" t="s">
        <v>1816</v>
      </c>
      <c r="I445" s="160" t="str" cm="1">
        <f t="array" ref="I445">IF(SUMPRODUCT((TRIM(SUBSTITUTE('AML.05.01'!$I$11:$I$200&amp;"",CHAR(160),""))&lt;&gt;"")*((ISERROR('AML.05.01'!$I$11:$I$200+0)+IFERROR(INT('AML.05.01'!$I$11:$I$200+0)&lt;&gt;('AML.05.01'!$I$11:$I$200+0),1))&gt;0))=0,"OK",$G445&amp;": "&amp;$H445&amp;" ("&amp;SUMPRODUCT((TRIM(SUBSTITUTE('AML.05.01'!$I$11:$I$200&amp;"",CHAR(160),""))&lt;&gt;"")*((ISERROR('AML.05.01'!$I$11:$I$200+0)+IFERROR(INT('AML.05.01'!$I$11:$I$200+0)&lt;&gt;('AML.05.01'!$I$11:$I$200+0),1))&gt;0))&amp;" rows)")</f>
        <v>OK</v>
      </c>
      <c r="J445" s="173" t="str">
        <f>IF(LEN(IF(VLOOKUP("AMLA_VR_AML.05.01_C0080_01",$A:$I,9,0)&lt;&gt;"OK",CHAR(10)&amp;VLOOKUP("AMLA_VR_AML.05.01_C0080_01",$A:$I,9,0),"")&amp;IF(VLOOKUP("AMLA_VR_AML.05.01_C0080_02",$A:$I,9,0)&lt;&gt;"OK",CHAR(10)&amp;VLOOKUP("AMLA_VR_AML.05.01_C0080_02",$A:$I,9,0),"")&amp;IF(VLOOKUP("AMLA_VR_AML.05.01_C0080_03",$A:$I,9,0)&lt;&gt;"OK",CHAR(10)&amp;VLOOKUP("AMLA_VR_AML.05.01_C0080_03",$A:$I,9,0),""))=0,"OK",MID(IF(VLOOKUP("AMLA_VR_AML.05.01_C0080_01",$A:$I,9,0)&lt;&gt;"OK",CHAR(10)&amp;VLOOKUP("AMLA_VR_AML.05.01_C0080_01",$A:$I,9,0),"")&amp;IF(VLOOKUP("AMLA_VR_AML.05.01_C0080_02",$A:$I,9,0)&lt;&gt;"OK",CHAR(10)&amp;VLOOKUP("AMLA_VR_AML.05.01_C0080_02",$A:$I,9,0),"")&amp;IF(VLOOKUP("AMLA_VR_AML.05.01_C0080_03",$A:$I,9,0)&lt;&gt;"OK",CHAR(10)&amp;VLOOKUP("AMLA_VR_AML.05.01_C0080_03",$A:$I,9,0),""),2,3000))</f>
        <v>OK</v>
      </c>
      <c r="K445" s="158" t="s">
        <v>1775</v>
      </c>
    </row>
    <row r="446" spans="1:11">
      <c r="A446" s="159" t="str">
        <f>"AMLA_VR_" &amp; B446 &amp; "_" &amp; C446 &amp; "_" &amp; TEXT(COUNTIFS($B$2:B446, B446, $C$2:C446, C446), "00")</f>
        <v>AMLA_VR_AML.05.01_C0080_03</v>
      </c>
      <c r="B446" s="157" t="s">
        <v>316</v>
      </c>
      <c r="C446" s="157" t="s">
        <v>88</v>
      </c>
      <c r="D446" s="157" t="s">
        <v>1556</v>
      </c>
      <c r="E446" s="160" t="str" cm="1">
        <f t="array" aca="1" ref="E446" ca="1">IF(C446="", INDIRECT("'"&amp;B446&amp;"'!B3"), INDEX(INDIRECT("'"&amp;B446&amp;"'!5:5"), COLUMN(INDIRECT("'"&amp;B446&amp;"'!"&amp;D446))))</f>
        <v>Transactions (Outgoing) - Number</v>
      </c>
      <c r="F446" s="157" t="s">
        <v>1772</v>
      </c>
      <c r="G446" s="157" t="s">
        <v>1813</v>
      </c>
      <c r="H446" s="157" t="s">
        <v>1906</v>
      </c>
      <c r="I446" s="160" t="str" cm="1">
        <f t="array" ref="I446">IF(SUMPRODUCT((IFERROR(VALUE(TRIM(SUBSTITUTE('AML.05.01'!$I$11:I209,CHAR(160),""))),0)=0) * (IFERROR(VALUE(TRIM(SUBSTITUTE('AML.05.01'!$J$11:J209,CHAR(160),""))),0)&gt;0))=0, "OK", "there are (" &amp; SUMPRODUCT((IFERROR(VALUE(TRIM(SUBSTITUTE('AML.05.01'!$I$11:I209,CHAR(160),""))),0)=0) * (IFERROR(VALUE(TRIM(SUBSTITUTE('AML.05.01'!$J$11:J209,CHAR(160),""))),0)&gt;0)) &amp; ") rows with " &amp; $G446 &amp; "(s) as " &amp; $H446)</f>
        <v>OK</v>
      </c>
      <c r="J446" s="173" t="str">
        <f>IF(LEN(IF(VLOOKUP("AMLA_VR_AML.05.01_C0080_01",$A:$I,9,0)&lt;&gt;"OK",CHAR(10)&amp;VLOOKUP("AMLA_VR_AML.05.01_C0080_01",$A:$I,9,0),"")&amp;IF(VLOOKUP("AMLA_VR_AML.05.01_C0080_02",$A:$I,9,0)&lt;&gt;"OK",CHAR(10)&amp;VLOOKUP("AMLA_VR_AML.05.01_C0080_02",$A:$I,9,0),"")&amp;IF(VLOOKUP("AMLA_VR_AML.05.01_C0080_03",$A:$I,9,0)&lt;&gt;"OK",CHAR(10)&amp;VLOOKUP("AMLA_VR_AML.05.01_C0080_03",$A:$I,9,0),""))=0,"OK",MID(IF(VLOOKUP("AMLA_VR_AML.05.01_C0080_01",$A:$I,9,0)&lt;&gt;"OK",CHAR(10)&amp;VLOOKUP("AMLA_VR_AML.05.01_C0080_01",$A:$I,9,0),"")&amp;IF(VLOOKUP("AMLA_VR_AML.05.01_C0080_02",$A:$I,9,0)&lt;&gt;"OK",CHAR(10)&amp;VLOOKUP("AMLA_VR_AML.05.01_C0080_02",$A:$I,9,0),"")&amp;IF(VLOOKUP("AMLA_VR_AML.05.01_C0080_03",$A:$I,9,0)&lt;&gt;"OK",CHAR(10)&amp;VLOOKUP("AMLA_VR_AML.05.01_C0080_03",$A:$I,9,0),""),2,3000))</f>
        <v>OK</v>
      </c>
      <c r="K446" s="158" t="s">
        <v>1775</v>
      </c>
    </row>
    <row r="447" spans="1:11">
      <c r="A447" s="159" t="str">
        <f>"AMLA_VR_" &amp; B447 &amp; "_" &amp; C447 &amp; "_" &amp; TEXT(COUNTIFS($B$2:B447, B447, $C$2:C447, C447), "00")</f>
        <v>AMLA_VR_AML.05.01_C0090_01</v>
      </c>
      <c r="B447" s="160" t="s">
        <v>316</v>
      </c>
      <c r="C447" s="160" t="s">
        <v>89</v>
      </c>
      <c r="D447" s="160" t="s">
        <v>1557</v>
      </c>
      <c r="E447" s="160" t="str" cm="1">
        <f t="array" aca="1" ref="E447" ca="1">IF(C447="", INDIRECT("'"&amp;B447&amp;"'!B3"), INDEX(INDIRECT("'"&amp;B447&amp;"'!5:5"), COLUMN(INDIRECT("'"&amp;B447&amp;"'!"&amp;D447))))</f>
        <v>Transactions (Outgoing) - Value</v>
      </c>
      <c r="F447" s="157" t="s">
        <v>1772</v>
      </c>
      <c r="G447" s="160" t="s">
        <v>1773</v>
      </c>
      <c r="H447" s="160" t="s">
        <v>1826</v>
      </c>
      <c r="I447" s="160" t="str" cm="1">
        <f t="array" ref="I447">IF(SUMPRODUCT((TRIM(SUBSTITUTE('AML.05.01'!$J$11:J209,CHAR(160),""))&lt;&gt;"") * (IFERROR(VALUE(TRIM(SUBSTITUTE('AML.05.01'!$J$11:J209,CHAR(160),""))),0)&lt;0))=0, "OK", "there are (" &amp; SUMPRODUCT((TRIM(SUBSTITUTE('AML.05.01'!$J$11:J209,CHAR(160),""))&lt;&gt;"") * (IFERROR(VALUE(TRIM(SUBSTITUTE('AML.05.01'!$J$11:J209,CHAR(160),""))),0)&lt;0)) &amp; ") rows with " &amp; $G447 &amp; "(s) as " &amp; $H447)</f>
        <v>OK</v>
      </c>
      <c r="J447" s="172" t="str">
        <f>IF(LEN(IF(VLOOKUP("AMLA_VR_AML.05.01_C0090_01",$A:$I,9,0)&lt;&gt;"OK",CHAR(10)&amp;VLOOKUP("AMLA_VR_AML.05.01_C0090_01",$A:$I,9,0),"")&amp;IF(VLOOKUP("AMLA_VR_AML.05.01_C0090_02",$A:$I,9,0)&lt;&gt;"OK",CHAR(10)&amp;VLOOKUP("AMLA_VR_AML.05.01_C0090_02",$A:$I,9,0),"")&amp;IF(VLOOKUP("AMLA_VR_AML.05.01_C0090_03",$A:$I,9,0)&lt;&gt;"OK",CHAR(10)&amp;VLOOKUP("AMLA_VR_AML.05.01_C0090_03",$A:$I,9,0),""))=0,"OK",MID(IF(VLOOKUP("AMLA_VR_AML.05.01_C0090_01",$A:$I,9,0)&lt;&gt;"OK",CHAR(10)&amp;VLOOKUP("AMLA_VR_AML.05.01_C0090_01",$A:$I,9,0),"")&amp;IF(VLOOKUP("AMLA_VR_AML.05.01_C0090_02",$A:$I,9,0)&lt;&gt;"OK",CHAR(10)&amp;VLOOKUP("AMLA_VR_AML.05.01_C0090_02",$A:$I,9,0),"")&amp;IF(VLOOKUP("AMLA_VR_AML.05.01_C0090_03",$A:$I,9,0)&lt;&gt;"OK",CHAR(10)&amp;VLOOKUP("AMLA_VR_AML.05.01_C0090_03",$A:$I,9,0),""),2,3000))</f>
        <v>OK</v>
      </c>
      <c r="K447" s="161" t="s">
        <v>1775</v>
      </c>
    </row>
    <row r="448" spans="1:11">
      <c r="A448" s="159" t="str">
        <f>"AMLA_VR_" &amp; B448 &amp; "_" &amp; C448 &amp; "_" &amp; TEXT(COUNTIFS($B$2:B448, B448, $C$2:C448, C448), "00")</f>
        <v>AMLA_VR_AML.05.01_C0090_02</v>
      </c>
      <c r="B448" s="160" t="s">
        <v>316</v>
      </c>
      <c r="C448" s="160" t="s">
        <v>89</v>
      </c>
      <c r="D448" s="160" t="s">
        <v>1907</v>
      </c>
      <c r="E448" s="160" t="str" cm="1">
        <f t="array" aca="1" ref="E448" ca="1">IF(C448="", INDIRECT("'"&amp;B448&amp;"'!B3"), INDEX(INDIRECT("'"&amp;B448&amp;"'!5:5"), COLUMN(INDIRECT("'"&amp;B448&amp;"'!"&amp;D448))))</f>
        <v>Transactions (Outgoing) - Value</v>
      </c>
      <c r="F448" s="160" t="s">
        <v>1776</v>
      </c>
      <c r="G448" s="160" t="s">
        <v>1773</v>
      </c>
      <c r="H448" s="160" t="s">
        <v>1837</v>
      </c>
      <c r="I448" s="160" t="str">
        <f>IF(SUMPRODUCT((TRIM(SUBSTITUTE('AML.05.01'!$J$11:$J$200&amp;"",CHAR(160),""))&lt;&gt;"")*(NOT(ISNUMBER('AML.05.01'!$J$11:$J$200))))=0,"OK",$G448&amp;": "&amp;$H448&amp;" ("&amp;SUMPRODUCT((TRIM(SUBSTITUTE('AML.05.01'!$J$11:$J$200&amp;"",CHAR(160),""))&lt;&gt;"")*(NOT(ISNUMBER('AML.05.01'!$J$11:$J$200))))&amp;" rows)")</f>
        <v>OK</v>
      </c>
      <c r="J448" s="172" t="str">
        <f>IF(LEN(IF(VLOOKUP("AMLA_VR_AML.05.01_C0090_01",$A:$I,9,0)&lt;&gt;"OK",CHAR(10)&amp;VLOOKUP("AMLA_VR_AML.05.01_C0090_01",$A:$I,9,0),"")&amp;IF(VLOOKUP("AMLA_VR_AML.05.01_C0090_02",$A:$I,9,0)&lt;&gt;"OK",CHAR(10)&amp;VLOOKUP("AMLA_VR_AML.05.01_C0090_02",$A:$I,9,0),"")&amp;IF(VLOOKUP("AMLA_VR_AML.05.01_C0090_03",$A:$I,9,0)&lt;&gt;"OK",CHAR(10)&amp;VLOOKUP("AMLA_VR_AML.05.01_C0090_03",$A:$I,9,0),""))=0,"OK",MID(IF(VLOOKUP("AMLA_VR_AML.05.01_C0090_01",$A:$I,9,0)&lt;&gt;"OK",CHAR(10)&amp;VLOOKUP("AMLA_VR_AML.05.01_C0090_01",$A:$I,9,0),"")&amp;IF(VLOOKUP("AMLA_VR_AML.05.01_C0090_02",$A:$I,9,0)&lt;&gt;"OK",CHAR(10)&amp;VLOOKUP("AMLA_VR_AML.05.01_C0090_02",$A:$I,9,0),"")&amp;IF(VLOOKUP("AMLA_VR_AML.05.01_C0090_03",$A:$I,9,0)&lt;&gt;"OK",CHAR(10)&amp;VLOOKUP("AMLA_VR_AML.05.01_C0090_03",$A:$I,9,0),""),2,3000))</f>
        <v>OK</v>
      </c>
      <c r="K448" s="161" t="s">
        <v>1775</v>
      </c>
    </row>
    <row r="449" spans="1:11">
      <c r="A449" s="159" t="str">
        <f>"AMLA_VR_" &amp; B449 &amp; "_" &amp; C449 &amp; "_" &amp; TEXT(COUNTIFS($B$2:B449, B449, $C$2:C449, C449), "00")</f>
        <v>AMLA_VR_AML.05.01_C0090_03</v>
      </c>
      <c r="B449" s="157" t="s">
        <v>316</v>
      </c>
      <c r="C449" s="157" t="s">
        <v>89</v>
      </c>
      <c r="D449" s="157" t="s">
        <v>1557</v>
      </c>
      <c r="E449" s="160" t="str" cm="1">
        <f t="array" aca="1" ref="E449" ca="1">IF(C449="", INDIRECT("'"&amp;B449&amp;"'!B3"), INDEX(INDIRECT("'"&amp;B449&amp;"'!5:5"), COLUMN(INDIRECT("'"&amp;B449&amp;"'!"&amp;D449))))</f>
        <v>Transactions (Outgoing) - Value</v>
      </c>
      <c r="F449" s="157" t="s">
        <v>1772</v>
      </c>
      <c r="G449" s="157" t="s">
        <v>1813</v>
      </c>
      <c r="H449" s="157" t="s">
        <v>1908</v>
      </c>
      <c r="I449" s="160" t="str" cm="1">
        <f t="array" ref="I449">IF(SUMPRODUCT((IFERROR(VALUE(TRIM(SUBSTITUTE('AML.05.01'!$J$11:J209,CHAR(160),""))),0)=0) * (IFERROR(VALUE(TRIM(SUBSTITUTE('AML.05.01'!$I$11:I209,CHAR(160),""))),0)&gt;0))=0, "OK", "there are (" &amp; SUMPRODUCT((IFERROR(VALUE(TRIM(SUBSTITUTE('AML.05.01'!$J$11:J209,CHAR(160),""))),0)=0) * (IFERROR(VALUE(TRIM(SUBSTITUTE('AML.05.01'!$I$11:I209,CHAR(160),""))),0)&gt;0)) &amp; ") rows with " &amp; $G449 &amp; "(s) as " &amp; $H449)</f>
        <v>OK</v>
      </c>
      <c r="J449" s="173" t="str">
        <f>IF(LEN(IF(VLOOKUP("AMLA_VR_AML.05.01_C0090_01",$A:$I,9,0)&lt;&gt;"OK",CHAR(10)&amp;VLOOKUP("AMLA_VR_AML.05.01_C0090_01",$A:$I,9,0),"")&amp;IF(VLOOKUP("AMLA_VR_AML.05.01_C0090_02",$A:$I,9,0)&lt;&gt;"OK",CHAR(10)&amp;VLOOKUP("AMLA_VR_AML.05.01_C0090_02",$A:$I,9,0),"")&amp;IF(VLOOKUP("AMLA_VR_AML.05.01_C0090_03",$A:$I,9,0)&lt;&gt;"OK",CHAR(10)&amp;VLOOKUP("AMLA_VR_AML.05.01_C0090_03",$A:$I,9,0),""))=0,"OK",MID(IF(VLOOKUP("AMLA_VR_AML.05.01_C0090_01",$A:$I,9,0)&lt;&gt;"OK",CHAR(10)&amp;VLOOKUP("AMLA_VR_AML.05.01_C0090_01",$A:$I,9,0),"")&amp;IF(VLOOKUP("AMLA_VR_AML.05.01_C0090_02",$A:$I,9,0)&lt;&gt;"OK",CHAR(10)&amp;VLOOKUP("AMLA_VR_AML.05.01_C0090_02",$A:$I,9,0),"")&amp;IF(VLOOKUP("AMLA_VR_AML.05.01_C0090_03",$A:$I,9,0)&lt;&gt;"OK",CHAR(10)&amp;VLOOKUP("AMLA_VR_AML.05.01_C0090_03",$A:$I,9,0),""),2,3000))</f>
        <v>OK</v>
      </c>
      <c r="K449" s="158" t="s">
        <v>1775</v>
      </c>
    </row>
    <row r="450" spans="1:11">
      <c r="A450" s="159" t="str">
        <f>"AMLA_VR_" &amp; B450 &amp; "_" &amp; C450 &amp; "_" &amp; TEXT(COUNTIFS($B$2:B450, B450, $C$2:C450, C450), "00")</f>
        <v>AMLA_VR_AML.05.01_C0100_01</v>
      </c>
      <c r="B450" s="160" t="s">
        <v>316</v>
      </c>
      <c r="C450" s="160" t="s">
        <v>90</v>
      </c>
      <c r="D450" s="160" t="s">
        <v>1558</v>
      </c>
      <c r="E450" s="160" t="str" cm="1">
        <f t="array" aca="1" ref="E450" ca="1">IF(C450="", INDIRECT("'"&amp;B450&amp;"'!B3"), INDEX(INDIRECT("'"&amp;B450&amp;"'!5:5"), COLUMN(INDIRECT("'"&amp;B450&amp;"'!"&amp;D450))))</f>
        <v>CIU Investment Flows - Value</v>
      </c>
      <c r="F450" s="157" t="s">
        <v>1772</v>
      </c>
      <c r="G450" s="160" t="s">
        <v>1773</v>
      </c>
      <c r="H450" s="160" t="s">
        <v>1827</v>
      </c>
      <c r="I450" s="160" t="str" cm="1">
        <f t="array" ref="I450">IF(SUMPRODUCT((TRIM(SUBSTITUTE('AML.05.01'!$K$11:K209,CHAR(160),""))&lt;&gt;"") * (IFERROR(VALUE(TRIM(SUBSTITUTE('AML.05.01'!$K$11:K209,CHAR(160),""))),0)&lt;0))=0, "OK", "there are (" &amp; SUMPRODUCT((TRIM(SUBSTITUTE('AML.05.01'!$K$11:K209,CHAR(160),""))&lt;&gt;"") * (IFERROR(VALUE(TRIM(SUBSTITUTE('AML.05.01'!$K$11:K209,CHAR(160),""))),0)&lt;0)) &amp; ") rows with " &amp; $G450 &amp; "(s) as " &amp; $H450)</f>
        <v>OK</v>
      </c>
      <c r="J450" s="57" t="str">
        <f>IF(LEN(IF(VLOOKUP("AMLA_VR_AML.05.01_C0100_01",$A:$I,9,0)&lt;&gt;"OK",CHAR(10)&amp;VLOOKUP("AMLA_VR_AML.05.01_C0100_01",$A:$I,9,0),"")&amp;IF(VLOOKUP("AMLA_VR_AML.05.01_C0100_02",$A:$I,9,0)&lt;&gt;"OK",CHAR(10)&amp;VLOOKUP("AMLA_VR_AML.05.01_C0100_02",$A:$I,9,0),""))=0,"OK",MID(IF(VLOOKUP("AMLA_VR_AML.05.01_C0100_01",$A:$I,9,0)&lt;&gt;"OK",CHAR(10)&amp;VLOOKUP("AMLA_VR_AML.05.01_C0100_01",$A:$I,9,0),"")&amp;IF(VLOOKUP("AMLA_VR_AML.05.01_C0100_02",$A:$I,9,0)&lt;&gt;"OK",CHAR(10)&amp;VLOOKUP("AMLA_VR_AML.05.01_C0100_02",$A:$I,9,0),""),2,3000))</f>
        <v>OK</v>
      </c>
      <c r="K450" s="161" t="s">
        <v>1775</v>
      </c>
    </row>
    <row r="451" spans="1:11">
      <c r="A451" s="159" t="str">
        <f>"AMLA_VR_" &amp; B451 &amp; "_" &amp; C451 &amp; "_" &amp; TEXT(COUNTIFS($B$2:B451, B451, $C$2:C451, C451), "00")</f>
        <v>AMLA_VR_AML.05.01_C0100_02</v>
      </c>
      <c r="B451" s="157" t="s">
        <v>316</v>
      </c>
      <c r="C451" s="157" t="s">
        <v>90</v>
      </c>
      <c r="D451" s="157" t="s">
        <v>1909</v>
      </c>
      <c r="E451" s="160" t="str" cm="1">
        <f t="array" aca="1" ref="E451" ca="1">IF(C451="", INDIRECT("'"&amp;B451&amp;"'!B3"), INDEX(INDIRECT("'"&amp;B451&amp;"'!5:5"), COLUMN(INDIRECT("'"&amp;B451&amp;"'!"&amp;D451))))</f>
        <v>CIU Investment Flows - Value</v>
      </c>
      <c r="F451" s="157" t="s">
        <v>1776</v>
      </c>
      <c r="G451" s="157" t="s">
        <v>1773</v>
      </c>
      <c r="H451" s="157" t="s">
        <v>1837</v>
      </c>
      <c r="I451" s="160" t="str">
        <f>IF(SUMPRODUCT((TRIM(SUBSTITUTE('AML.05.01'!$K$11:$K$200&amp;"",CHAR(160),""))&lt;&gt;"")*(NOT(ISNUMBER('AML.05.01'!$K$11:$K$200))))=0,"OK",$G451&amp;": "&amp;$H451&amp;" ("&amp;SUMPRODUCT((TRIM(SUBSTITUTE('AML.05.01'!$K$11:$K$200&amp;"",CHAR(160),""))&lt;&gt;"")*(NOT(ISNUMBER('AML.05.01'!$K$11:$K$200))))&amp;" rows)")</f>
        <v>OK</v>
      </c>
      <c r="J451" s="171" t="str">
        <f>IF(LEN(IF(VLOOKUP("AMLA_VR_AML.05.01_C0100_01",$A:$I,9,0)&lt;&gt;"OK",CHAR(10)&amp;VLOOKUP("AMLA_VR_AML.05.01_C0100_01",$A:$I,9,0),"")&amp;IF(VLOOKUP("AMLA_VR_AML.05.01_C0100_02",$A:$I,9,0)&lt;&gt;"OK",CHAR(10)&amp;VLOOKUP("AMLA_VR_AML.05.01_C0100_02",$A:$I,9,0),""))=0,"OK",MID(IF(VLOOKUP("AMLA_VR_AML.05.01_C0100_01",$A:$I,9,0)&lt;&gt;"OK",CHAR(10)&amp;VLOOKUP("AMLA_VR_AML.05.01_C0100_01",$A:$I,9,0),"")&amp;IF(VLOOKUP("AMLA_VR_AML.05.01_C0100_02",$A:$I,9,0)&lt;&gt;"OK",CHAR(10)&amp;VLOOKUP("AMLA_VR_AML.05.01_C0100_02",$A:$I,9,0),""),2,3000))</f>
        <v>OK</v>
      </c>
      <c r="K451" s="158" t="s">
        <v>1775</v>
      </c>
    </row>
    <row r="452" spans="1:11">
      <c r="A452" s="159" t="str">
        <f>"AMLA_VR_" &amp; B452 &amp; "_" &amp; C452 &amp; "_" &amp; TEXT(COUNTIFS($B$2:B452, B452, $C$2:C452, C452), "00")</f>
        <v>AMLA_VR_AML.05.01_C0110_01</v>
      </c>
      <c r="B452" s="157" t="s">
        <v>316</v>
      </c>
      <c r="C452" s="157" t="s">
        <v>91</v>
      </c>
      <c r="D452" s="157" t="s">
        <v>1559</v>
      </c>
      <c r="E452" s="160" t="str" cm="1">
        <f t="array" aca="1" ref="E452" ca="1">IF(C452="", INDIRECT("'"&amp;B452&amp;"'!B3"), INDEX(INDIRECT("'"&amp;B452&amp;"'!5:5"), COLUMN(INDIRECT("'"&amp;B452&amp;"'!"&amp;D452))))</f>
        <v>Investors</v>
      </c>
      <c r="F452" s="157" t="s">
        <v>1772</v>
      </c>
      <c r="G452" s="157" t="s">
        <v>1773</v>
      </c>
      <c r="H452" s="157" t="s">
        <v>1828</v>
      </c>
      <c r="I452" s="160" t="str" cm="1">
        <f t="array" ref="I452">IF(SUMPRODUCT((TRIM(SUBSTITUTE('AML.05.01'!$L$11:$L271,CHAR(160),""))&lt;&gt;"") * (IFERROR(VALUE(TRIM(SUBSTITUTE('AML.05.01'!$L$11:$L271,CHAR(160),""))),0)&lt;0))=0, "OK", "there are (" &amp; SUMPRODUCT((TRIM(SUBSTITUTE('AML.05.01'!$L$11:$L271,CHAR(160),""))&lt;&gt;"") * (IFERROR(VALUE(TRIM(SUBSTITUTE('AML.05.01'!$L$11:$L271,CHAR(160),""))),0)&lt;0)) &amp; ") rows with " &amp; $G452 &amp; "(s) as " &amp; $H452)</f>
        <v>OK</v>
      </c>
      <c r="J452" s="173" t="str">
        <f>IF(LEN(IF(VLOOKUP("AMLA_VR_AML.05.01_C0110_01",$A:$I,9,0)&lt;&gt;"OK",CHAR(10)&amp;VLOOKUP("AMLA_VR_AML.05.01_C0110_01",$A:$I,9,0),"")&amp;IF(VLOOKUP("AMLA_VR_AML.05.01_C0110_02",$A:$I,9,0)&lt;&gt;"OK",CHAR(10)&amp;VLOOKUP("AMLA_VR_AML.05.01_C0110_02",$A:$I,9,0),""))=0,"OK",MID(IF(VLOOKUP("AMLA_VR_AML.05.01_C0110_01",$A:$I,9,0)&lt;&gt;"OK",CHAR(10)&amp;VLOOKUP("AMLA_VR_AML.05.01_C0110_01",$A:$I,9,0),"")&amp;IF(VLOOKUP("AMLA_VR_AML.05.01_C0110_02",$A:$I,9,0)&lt;&gt;"OK",CHAR(10)&amp;VLOOKUP("AMLA_VR_AML.05.01_C0110_02",$A:$I,9,0),""),2,3000))</f>
        <v>OK</v>
      </c>
      <c r="K452" s="158" t="s">
        <v>1775</v>
      </c>
    </row>
    <row r="453" spans="1:11">
      <c r="A453" s="159" t="str">
        <f>"AMLA_VR_" &amp; B453 &amp; "_" &amp; C453 &amp; "_" &amp; TEXT(COUNTIFS($B$2:B453, B453, $C$2:C453, C453), "00")</f>
        <v>AMLA_VR_AML.05.01_C0110_02</v>
      </c>
      <c r="B453" s="160" t="s">
        <v>316</v>
      </c>
      <c r="C453" s="160" t="s">
        <v>91</v>
      </c>
      <c r="D453" s="160" t="s">
        <v>1910</v>
      </c>
      <c r="E453" s="160" t="str" cm="1">
        <f t="array" aca="1" ref="E453" ca="1">IF(C453="", INDIRECT("'"&amp;B453&amp;"'!B3"), INDEX(INDIRECT("'"&amp;B453&amp;"'!5:5"), COLUMN(INDIRECT("'"&amp;B453&amp;"'!"&amp;D453))))</f>
        <v>Investors</v>
      </c>
      <c r="F453" s="160" t="s">
        <v>1776</v>
      </c>
      <c r="G453" s="160" t="s">
        <v>1773</v>
      </c>
      <c r="H453" s="160" t="s">
        <v>1816</v>
      </c>
      <c r="I453" s="160" t="str" cm="1">
        <f t="array" ref="I453">IF(SUMPRODUCT((TRIM(SUBSTITUTE('AML.05.01'!$L$11:$L$200&amp;"",CHAR(160),""))&lt;&gt;"")*((ISERROR('AML.05.01'!$L$11:$L$200+0)+IFERROR(INT('AML.05.01'!$L$11:$L$200+0)&lt;&gt;('AML.05.01'!$L$11:$L$200+0),1))&gt;0))=0,"OK",$G453&amp;": "&amp;$H453&amp;" ("&amp;SUMPRODUCT((TRIM(SUBSTITUTE('AML.05.01'!$L$11:$L$200&amp;"",CHAR(160),""))&lt;&gt;"")*((ISERROR('AML.05.01'!$L$11:$L$200+0)+IFERROR(INT('AML.05.01'!$L$11:$L$200+0)&lt;&gt;('AML.05.01'!$L$11:$L$200+0),1))&gt;0))&amp;" rows)")</f>
        <v>OK</v>
      </c>
      <c r="J453" s="172" t="str">
        <f>IF(LEN(IF(VLOOKUP("AMLA_VR_AML.05.01_C0110_01",$A:$I,9,0)&lt;&gt;"OK",CHAR(10)&amp;VLOOKUP("AMLA_VR_AML.05.01_C0110_01",$A:$I,9,0),"")&amp;IF(VLOOKUP("AMLA_VR_AML.05.01_C0110_02",$A:$I,9,0)&lt;&gt;"OK",CHAR(10)&amp;VLOOKUP("AMLA_VR_AML.05.01_C0110_02",$A:$I,9,0),""))=0,"OK",MID(IF(VLOOKUP("AMLA_VR_AML.05.01_C0110_01",$A:$I,9,0)&lt;&gt;"OK",CHAR(10)&amp;VLOOKUP("AMLA_VR_AML.05.01_C0110_01",$A:$I,9,0),"")&amp;IF(VLOOKUP("AMLA_VR_AML.05.01_C0110_02",$A:$I,9,0)&lt;&gt;"OK",CHAR(10)&amp;VLOOKUP("AMLA_VR_AML.05.01_C0110_02",$A:$I,9,0),""),2,3000))</f>
        <v>OK</v>
      </c>
      <c r="K453" s="161" t="s">
        <v>1775</v>
      </c>
    </row>
    <row r="454" spans="1:11">
      <c r="A454" s="159" t="str">
        <f>"AMLA_VR_" &amp; B454 &amp; "_" &amp; C454 &amp; "_" &amp; TEXT(COUNTIFS($B$2:B454, B454, $C$2:C454, C454), "00")</f>
        <v>AMLA_VR_AML.05.01_C0120_01</v>
      </c>
      <c r="B454" s="160" t="s">
        <v>316</v>
      </c>
      <c r="C454" s="160" t="s">
        <v>92</v>
      </c>
      <c r="D454" s="160" t="s">
        <v>1560</v>
      </c>
      <c r="E454" s="160" t="str" cm="1">
        <f t="array" aca="1" ref="E454" ca="1">IF(C454="", INDIRECT("'"&amp;B454&amp;"'!B3"), INDEX(INDIRECT("'"&amp;B454&amp;"'!5:5"), COLUMN(INDIRECT("'"&amp;B454&amp;"'!"&amp;D454))))</f>
        <v>Assets under Management - Value</v>
      </c>
      <c r="F454" s="157" t="s">
        <v>1772</v>
      </c>
      <c r="G454" s="160" t="s">
        <v>1773</v>
      </c>
      <c r="H454" s="160" t="s">
        <v>1829</v>
      </c>
      <c r="I454" s="160" t="str" cm="1">
        <f t="array" ref="I454">IF(SUMPRODUCT((TRIM(SUBSTITUTE('AML.05.01'!$M$11:M209,CHAR(160),""))&lt;&gt;"") * (IFERROR(VALUE(TRIM(SUBSTITUTE('AML.05.01'!$M$11:M209,CHAR(160),""))),0)&lt;0))=0, "OK", "there are (" &amp; SUMPRODUCT((TRIM(SUBSTITUTE('AML.05.01'!$M$11:M209,CHAR(160),""))&lt;&gt;"") * (IFERROR(VALUE(TRIM(SUBSTITUTE('AML.05.01'!$M$11:M209,CHAR(160),""))),0)&lt;0)) &amp; ") rows with " &amp; $G454 &amp; "(s) as " &amp; $H454)</f>
        <v>OK</v>
      </c>
      <c r="J454" s="57" t="str">
        <f>IF(LEN(IF(VLOOKUP("AMLA_VR_AML.05.01_C0120_01",$A:$I,9,0)&lt;&gt;"OK",CHAR(10)&amp;VLOOKUP("AMLA_VR_AML.05.01_C0120_01",$A:$I,9,0),"")&amp;IF(VLOOKUP("AMLA_VR_AML.05.01_C0120_02",$A:$I,9,0)&lt;&gt;"OK",CHAR(10)&amp;VLOOKUP("AMLA_VR_AML.05.01_C0120_02",$A:$I,9,0),""))=0,"OK",MID(IF(VLOOKUP("AMLA_VR_AML.05.01_C0120_01",$A:$I,9,0)&lt;&gt;"OK",CHAR(10)&amp;VLOOKUP("AMLA_VR_AML.05.01_C0120_01",$A:$I,9,0),"")&amp;IF(VLOOKUP("AMLA_VR_AML.05.01_C0120_02",$A:$I,9,0)&lt;&gt;"OK",CHAR(10)&amp;VLOOKUP("AMLA_VR_AML.05.01_C0120_02",$A:$I,9,0),""),2,3000))</f>
        <v>OK</v>
      </c>
      <c r="K454" s="161" t="s">
        <v>1775</v>
      </c>
    </row>
    <row r="455" spans="1:11">
      <c r="A455" s="159" t="str">
        <f>"AMLA_VR_" &amp; B455 &amp; "_" &amp; C455 &amp; "_" &amp; TEXT(COUNTIFS($B$2:B455, B455, $C$2:C455, C455), "00")</f>
        <v>AMLA_VR_AML.05.01_C0120_02</v>
      </c>
      <c r="B455" s="157" t="s">
        <v>316</v>
      </c>
      <c r="C455" s="157" t="s">
        <v>92</v>
      </c>
      <c r="D455" s="157" t="s">
        <v>1911</v>
      </c>
      <c r="E455" s="160" t="str" cm="1">
        <f t="array" aca="1" ref="E455" ca="1">IF(C455="", INDIRECT("'"&amp;B455&amp;"'!B3"), INDEX(INDIRECT("'"&amp;B455&amp;"'!5:5"), COLUMN(INDIRECT("'"&amp;B455&amp;"'!"&amp;D455))))</f>
        <v>Assets under Management - Value</v>
      </c>
      <c r="F455" s="157" t="s">
        <v>1776</v>
      </c>
      <c r="G455" s="157" t="s">
        <v>1773</v>
      </c>
      <c r="H455" s="157" t="s">
        <v>1837</v>
      </c>
      <c r="I455" s="160" t="str">
        <f>IF(SUMPRODUCT((TRIM(SUBSTITUTE('AML.05.01'!$M$11:$M$200&amp;"",CHAR(160),""))&lt;&gt;"")*(NOT(ISNUMBER('AML.05.01'!$M$11:$M$200))))=0,"OK",$G455&amp;": "&amp;$H455&amp;" ("&amp;SUMPRODUCT((TRIM(SUBSTITUTE('AML.05.01'!$M$11:$M$200&amp;"",CHAR(160),""))&lt;&gt;"")*(NOT(ISNUMBER('AML.05.01'!$M$11:$M$200))))&amp;" rows)")</f>
        <v>OK</v>
      </c>
      <c r="J455" s="171" t="str">
        <f>IF(LEN(IF(VLOOKUP("AMLA_VR_AML.05.01_C0120_01",$A:$I,9,0)&lt;&gt;"OK",CHAR(10)&amp;VLOOKUP("AMLA_VR_AML.05.01_C0120_01",$A:$I,9,0),"")&amp;IF(VLOOKUP("AMLA_VR_AML.05.01_C0120_02",$A:$I,9,0)&lt;&gt;"OK",CHAR(10)&amp;VLOOKUP("AMLA_VR_AML.05.01_C0120_02",$A:$I,9,0),""))=0,"OK",MID(IF(VLOOKUP("AMLA_VR_AML.05.01_C0120_01",$A:$I,9,0)&lt;&gt;"OK",CHAR(10)&amp;VLOOKUP("AMLA_VR_AML.05.01_C0120_01",$A:$I,9,0),"")&amp;IF(VLOOKUP("AMLA_VR_AML.05.01_C0120_02",$A:$I,9,0)&lt;&gt;"OK",CHAR(10)&amp;VLOOKUP("AMLA_VR_AML.05.01_C0120_02",$A:$I,9,0),""),2,3000))</f>
        <v>OK</v>
      </c>
      <c r="K455" s="158" t="s">
        <v>1775</v>
      </c>
    </row>
    <row r="456" spans="1:11">
      <c r="A456" s="159" t="str">
        <f>"AMLA_VR_" &amp; B456 &amp; "_" &amp; C456 &amp; "_" &amp; TEXT(COUNTIFS($B$2:B456, B456, $C$2:C456, C456), "00")</f>
        <v>AMLA_VR_AML.05.01_C0130_01</v>
      </c>
      <c r="B456" s="157" t="s">
        <v>316</v>
      </c>
      <c r="C456" s="157" t="s">
        <v>93</v>
      </c>
      <c r="D456" s="157" t="s">
        <v>1561</v>
      </c>
      <c r="E456" s="160" t="str" cm="1">
        <f t="array" aca="1" ref="E456" ca="1">IF(C456="", INDIRECT("'"&amp;B456&amp;"'!B3"), INDEX(INDIRECT("'"&amp;B456&amp;"'!5:5"), COLUMN(INDIRECT("'"&amp;B456&amp;"'!"&amp;D456))))</f>
        <v>Respondent Institutions</v>
      </c>
      <c r="F456" s="157" t="s">
        <v>1772</v>
      </c>
      <c r="G456" s="157" t="s">
        <v>1773</v>
      </c>
      <c r="H456" s="157" t="s">
        <v>1831</v>
      </c>
      <c r="I456" s="160" t="str" cm="1">
        <f t="array" ref="I456">IF(SUMPRODUCT((TRIM(SUBSTITUTE('AML.05.01'!$N$11:N209,CHAR(160),""))&lt;&gt;"") * (IFERROR(VALUE(TRIM(SUBSTITUTE('AML.05.01'!$N$11:N209,CHAR(160),""))),0)&lt;0))=0, "OK", "there are (" &amp; SUMPRODUCT((TRIM(SUBSTITUTE('AML.05.01'!$N$11:N209,CHAR(160),""))&lt;&gt;"") * (IFERROR(VALUE(TRIM(SUBSTITUTE('AML.05.01'!$N$11:N209,CHAR(160),""))),0)&lt;0)) &amp; ") rows with " &amp; $G456 &amp; "(s) as " &amp; $H456)</f>
        <v>OK</v>
      </c>
      <c r="J456" s="173" t="str">
        <f>IF(LEN(IF(VLOOKUP("AMLA_VR_AML.05.01_C0130_01",$A:$I,9,0)&lt;&gt;"OK",CHAR(10)&amp;VLOOKUP("AMLA_VR_AML.05.01_C0130_01",$A:$I,9,0),"")&amp;IF(VLOOKUP("AMLA_VR_AML.05.01_C0130_02",$A:$I,9,0)&lt;&gt;"OK",CHAR(10)&amp;VLOOKUP("AMLA_VR_AML.05.01_C0130_02",$A:$I,9,0),""))=0,"OK",MID(IF(VLOOKUP("AMLA_VR_AML.05.01_C0130_01",$A:$I,9,0)&lt;&gt;"OK",CHAR(10)&amp;VLOOKUP("AMLA_VR_AML.05.01_C0130_01",$A:$I,9,0),"")&amp;IF(VLOOKUP("AMLA_VR_AML.05.01_C0130_02",$A:$I,9,0)&lt;&gt;"OK",CHAR(10)&amp;VLOOKUP("AMLA_VR_AML.05.01_C0130_02",$A:$I,9,0),""),2,3000))</f>
        <v>OK</v>
      </c>
      <c r="K456" s="158" t="s">
        <v>1775</v>
      </c>
    </row>
    <row r="457" spans="1:11">
      <c r="A457" s="159" t="str">
        <f>"AMLA_VR_" &amp; B457 &amp; "_" &amp; C457 &amp; "_" &amp; TEXT(COUNTIFS($B$2:B457, B457, $C$2:C457, C457), "00")</f>
        <v>AMLA_VR_AML.05.01_C0130_02</v>
      </c>
      <c r="B457" s="160" t="s">
        <v>316</v>
      </c>
      <c r="C457" s="160" t="s">
        <v>93</v>
      </c>
      <c r="D457" s="160" t="s">
        <v>1912</v>
      </c>
      <c r="E457" s="160" t="str" cm="1">
        <f t="array" aca="1" ref="E457" ca="1">IF(C457="", INDIRECT("'"&amp;B457&amp;"'!B3"), INDEX(INDIRECT("'"&amp;B457&amp;"'!5:5"), COLUMN(INDIRECT("'"&amp;B457&amp;"'!"&amp;D457))))</f>
        <v>Respondent Institutions</v>
      </c>
      <c r="F457" s="160" t="s">
        <v>1776</v>
      </c>
      <c r="G457" s="160" t="s">
        <v>1773</v>
      </c>
      <c r="H457" s="160" t="s">
        <v>1816</v>
      </c>
      <c r="I457" s="160" t="str" cm="1">
        <f t="array" ref="I457">IF(SUMPRODUCT((TRIM(SUBSTITUTE('AML.05.01'!$N$11:$N$200&amp;"",CHAR(160),""))&lt;&gt;"")*((ISERROR('AML.05.01'!$N$11:$N$200+0)+IFERROR(INT('AML.05.01'!$N$11:$N$200+0)&lt;&gt;('AML.05.01'!$N$11:$N$200+0),1))&gt;0))=0,"OK",$G457&amp;": "&amp;$H457&amp;" ("&amp;SUMPRODUCT((TRIM(SUBSTITUTE('AML.05.01'!$N$11:$N$200&amp;"",CHAR(160),""))&lt;&gt;"")*((ISERROR('AML.05.01'!$N$11:$N$200+0)+IFERROR(INT('AML.05.01'!$N$11:$N$200+0)&lt;&gt;('AML.05.01'!$N$11:$N$200+0),1))&gt;0))&amp;" rows)")</f>
        <v>OK</v>
      </c>
      <c r="J457" s="172" t="str">
        <f>IF(LEN(IF(VLOOKUP("AMLA_VR_AML.05.01_C0130_01",$A:$I,9,0)&lt;&gt;"OK",CHAR(10)&amp;VLOOKUP("AMLA_VR_AML.05.01_C0130_01",$A:$I,9,0),"")&amp;IF(VLOOKUP("AMLA_VR_AML.05.01_C0130_02",$A:$I,9,0)&lt;&gt;"OK",CHAR(10)&amp;VLOOKUP("AMLA_VR_AML.05.01_C0130_02",$A:$I,9,0),""))=0,"OK",MID(IF(VLOOKUP("AMLA_VR_AML.05.01_C0130_01",$A:$I,9,0)&lt;&gt;"OK",CHAR(10)&amp;VLOOKUP("AMLA_VR_AML.05.01_C0130_01",$A:$I,9,0),"")&amp;IF(VLOOKUP("AMLA_VR_AML.05.01_C0130_02",$A:$I,9,0)&lt;&gt;"OK",CHAR(10)&amp;VLOOKUP("AMLA_VR_AML.05.01_C0130_02",$A:$I,9,0),""),2,3000))</f>
        <v>OK</v>
      </c>
      <c r="K457" s="161" t="s">
        <v>1775</v>
      </c>
    </row>
    <row r="458" spans="1:11">
      <c r="A458" s="159" t="str">
        <f>"AMLA_VR_" &amp; B458 &amp; "_" &amp; C458 &amp; "_" &amp; TEXT(COUNTIFS($B$2:B458, B458, $C$2:C458, C458), "00")</f>
        <v>AMLA_VR_AML.05.01_C0140_01</v>
      </c>
      <c r="B458" s="160" t="s">
        <v>316</v>
      </c>
      <c r="C458" s="160" t="s">
        <v>94</v>
      </c>
      <c r="D458" s="160" t="s">
        <v>1562</v>
      </c>
      <c r="E458" s="160" t="str" cm="1">
        <f t="array" aca="1" ref="E458" ca="1">IF(C458="", INDIRECT("'"&amp;B458&amp;"'!B3"), INDEX(INDIRECT("'"&amp;B458&amp;"'!5:5"), COLUMN(INDIRECT("'"&amp;B458&amp;"'!"&amp;D458))))</f>
        <v>Respondent Client Funds (Incoming) - Value</v>
      </c>
      <c r="F458" s="157" t="s">
        <v>1772</v>
      </c>
      <c r="G458" s="160" t="s">
        <v>1773</v>
      </c>
      <c r="H458" s="160" t="s">
        <v>1833</v>
      </c>
      <c r="I458" s="160" t="str" cm="1">
        <f t="array" ref="I458">IF(SUMPRODUCT((TRIM(SUBSTITUTE('AML.05.01'!$O$11:O209,CHAR(160),""))&lt;&gt;"") * (IFERROR(VALUE(TRIM(SUBSTITUTE('AML.05.01'!$O$11:O209,CHAR(160),""))),0)&lt;0))=0, "OK", "there are (" &amp; SUMPRODUCT((TRIM(SUBSTITUTE('AML.05.01'!$O$11:O209,CHAR(160),""))&lt;&gt;"") * (IFERROR(VALUE(TRIM(SUBSTITUTE('AML.05.01'!$O$11:O209,CHAR(160),""))),0)&lt;0)) &amp; ") rows with " &amp; $G458 &amp; "(s) as " &amp; $H458)</f>
        <v>OK</v>
      </c>
      <c r="J458" s="57" t="str">
        <f>IF(LEN(IF(VLOOKUP("AMLA_VR_AML.05.01_C0140_01",$A:$I,9,0)&lt;&gt;"OK",CHAR(10)&amp;VLOOKUP("AMLA_VR_AML.05.01_C0140_01",$A:$I,9,0),"")&amp;IF(VLOOKUP("AMLA_VR_AML.05.01_C0140_02",$A:$I,9,0)&lt;&gt;"OK",CHAR(10)&amp;VLOOKUP("AMLA_VR_AML.05.01_C0140_02",$A:$I,9,0),""))=0,"OK",MID(IF(VLOOKUP("AMLA_VR_AML.05.01_C0140_01",$A:$I,9,0)&lt;&gt;"OK",CHAR(10)&amp;VLOOKUP("AMLA_VR_AML.05.01_C0140_01",$A:$I,9,0),"")&amp;IF(VLOOKUP("AMLA_VR_AML.05.01_C0140_02",$A:$I,9,0)&lt;&gt;"OK",CHAR(10)&amp;VLOOKUP("AMLA_VR_AML.05.01_C0140_02",$A:$I,9,0),""),2,3000))</f>
        <v>OK</v>
      </c>
      <c r="K458" s="161" t="s">
        <v>1775</v>
      </c>
    </row>
    <row r="459" spans="1:11">
      <c r="A459" s="159" t="str">
        <f>"AMLA_VR_" &amp; B459 &amp; "_" &amp; C459 &amp; "_" &amp; TEXT(COUNTIFS($B$2:B459, B459, $C$2:C459, C459), "00")</f>
        <v>AMLA_VR_AML.05.01_C0140_02</v>
      </c>
      <c r="B459" s="157" t="s">
        <v>316</v>
      </c>
      <c r="C459" s="157" t="s">
        <v>94</v>
      </c>
      <c r="D459" s="157" t="s">
        <v>1913</v>
      </c>
      <c r="E459" s="160" t="str" cm="1">
        <f t="array" aca="1" ref="E459" ca="1">IF(C459="", INDIRECT("'"&amp;B459&amp;"'!B3"), INDEX(INDIRECT("'"&amp;B459&amp;"'!5:5"), COLUMN(INDIRECT("'"&amp;B459&amp;"'!"&amp;D459))))</f>
        <v>Respondent Client Funds (Incoming) - Value</v>
      </c>
      <c r="F459" s="157" t="s">
        <v>1776</v>
      </c>
      <c r="G459" s="157" t="s">
        <v>1773</v>
      </c>
      <c r="H459" s="157" t="s">
        <v>1837</v>
      </c>
      <c r="I459" s="160" t="str">
        <f>IF(SUMPRODUCT((TRIM(SUBSTITUTE('AML.05.01'!$O$11:$O$200&amp;"",CHAR(160),""))&lt;&gt;"")*(NOT(ISNUMBER('AML.05.01'!$O$11:$O$200))))=0,"OK",$G459&amp;": "&amp;$H459&amp;" ("&amp;SUMPRODUCT((TRIM(SUBSTITUTE('AML.05.01'!$O$11:$O$200&amp;"",CHAR(160),""))&lt;&gt;"")*(NOT(ISNUMBER('AML.05.01'!$O$11:$O$200))))&amp;" rows)")</f>
        <v>OK</v>
      </c>
      <c r="J459" s="171" t="str">
        <f>IF(LEN(IF(VLOOKUP("AMLA_VR_AML.05.01_C0140_01",$A:$I,9,0)&lt;&gt;"OK",CHAR(10)&amp;VLOOKUP("AMLA_VR_AML.05.01_C0140_01",$A:$I,9,0),"")&amp;IF(VLOOKUP("AMLA_VR_AML.05.01_C0140_02",$A:$I,9,0)&lt;&gt;"OK",CHAR(10)&amp;VLOOKUP("AMLA_VR_AML.05.01_C0140_02",$A:$I,9,0),""))=0,"OK",MID(IF(VLOOKUP("AMLA_VR_AML.05.01_C0140_01",$A:$I,9,0)&lt;&gt;"OK",CHAR(10)&amp;VLOOKUP("AMLA_VR_AML.05.01_C0140_01",$A:$I,9,0),"")&amp;IF(VLOOKUP("AMLA_VR_AML.05.01_C0140_02",$A:$I,9,0)&lt;&gt;"OK",CHAR(10)&amp;VLOOKUP("AMLA_VR_AML.05.01_C0140_02",$A:$I,9,0),""),2,3000))</f>
        <v>OK</v>
      </c>
      <c r="K459" s="158" t="s">
        <v>1775</v>
      </c>
    </row>
    <row r="460" spans="1:11">
      <c r="A460" s="159" t="str">
        <f>"AMLA_VR_" &amp; B460 &amp; "_" &amp; C460 &amp; "_" &amp; TEXT(COUNTIFS($B$2:B460, B460, $C$2:C460, C460), "00")</f>
        <v>AMLA_VR_AML.05.01_C0150_01</v>
      </c>
      <c r="B460" s="157" t="s">
        <v>316</v>
      </c>
      <c r="C460" s="157" t="s">
        <v>95</v>
      </c>
      <c r="D460" s="157" t="s">
        <v>1563</v>
      </c>
      <c r="E460" s="160" t="str" cm="1">
        <f t="array" aca="1" ref="E460" ca="1">IF(C460="", INDIRECT("'"&amp;B460&amp;"'!B3"), INDEX(INDIRECT("'"&amp;B460&amp;"'!5:5"), COLUMN(INDIRECT("'"&amp;B460&amp;"'!"&amp;D460))))</f>
        <v>Respondent Client Funds (Outgoing) - Value</v>
      </c>
      <c r="F460" s="157" t="s">
        <v>1772</v>
      </c>
      <c r="G460" s="157" t="s">
        <v>1773</v>
      </c>
      <c r="H460" s="157" t="s">
        <v>1834</v>
      </c>
      <c r="I460" s="160" t="str" cm="1">
        <f t="array" ref="I460">IF(SUMPRODUCT((TRIM(SUBSTITUTE('AML.05.01'!$P$11:P209,CHAR(160),""))&lt;&gt;"") * (IFERROR(VALUE(TRIM(SUBSTITUTE('AML.05.01'!$P$11:P209,CHAR(160),""))),0)&lt;0))=0, "OK", "there are (" &amp; SUMPRODUCT((TRIM(SUBSTITUTE('AML.05.01'!$P$11:P209,CHAR(160),""))&lt;&gt;"") * (IFERROR(VALUE(TRIM(SUBSTITUTE('AML.05.01'!$P$11:P209,CHAR(160),""))),0)&lt;0)) &amp; ") rows with " &amp; $G460 &amp; "(s) as " &amp; $H460)</f>
        <v>OK</v>
      </c>
      <c r="J460" s="171" t="str">
        <f>IF(LEN(IF(VLOOKUP("AMLA_VR_AML.05.01_C0150_01",$A:$I,9,0)&lt;&gt;"OK",CHAR(10)&amp;VLOOKUP("AMLA_VR_AML.05.01_C0150_01",$A:$I,9,0),"")&amp;IF(VLOOKUP("AMLA_VR_AML.05.01_C0150_02",$A:$I,9,0)&lt;&gt;"OK",CHAR(10)&amp;VLOOKUP("AMLA_VR_AML.05.01_C0150_02",$A:$I,9,0),""))=0,"OK",MID(IF(VLOOKUP("AMLA_VR_AML.05.01_C0150_01",$A:$I,9,0)&lt;&gt;"OK",CHAR(10)&amp;VLOOKUP("AMLA_VR_AML.05.01_C0150_01",$A:$I,9,0),"")&amp;IF(VLOOKUP("AMLA_VR_AML.05.01_C0150_02",$A:$I,9,0)&lt;&gt;"OK",CHAR(10)&amp;VLOOKUP("AMLA_VR_AML.05.01_C0150_02",$A:$I,9,0),""),2,3000))</f>
        <v>OK</v>
      </c>
      <c r="K460" s="158" t="s">
        <v>1775</v>
      </c>
    </row>
    <row r="461" spans="1:11">
      <c r="A461" s="159" t="str">
        <f>"AMLA_VR_" &amp; B461 &amp; "_" &amp; C461 &amp; "_" &amp; TEXT(COUNTIFS($B$2:B461, B461, $C$2:C461, C461), "00")</f>
        <v>AMLA_VR_AML.05.01_C0150_02</v>
      </c>
      <c r="B461" s="160" t="s">
        <v>316</v>
      </c>
      <c r="C461" s="160" t="s">
        <v>95</v>
      </c>
      <c r="D461" s="160" t="s">
        <v>1914</v>
      </c>
      <c r="E461" s="160" t="str" cm="1">
        <f t="array" aca="1" ref="E461" ca="1">IF(C461="", INDIRECT("'"&amp;B461&amp;"'!B3"), INDEX(INDIRECT("'"&amp;B461&amp;"'!5:5"), COLUMN(INDIRECT("'"&amp;B461&amp;"'!"&amp;D461))))</f>
        <v>Respondent Client Funds (Outgoing) - Value</v>
      </c>
      <c r="F461" s="160" t="s">
        <v>1776</v>
      </c>
      <c r="G461" s="160" t="s">
        <v>1773</v>
      </c>
      <c r="H461" s="160" t="s">
        <v>1837</v>
      </c>
      <c r="I461" s="160" t="str">
        <f>IF(SUMPRODUCT((TRIM(SUBSTITUTE('AML.05.01'!$P$11:$P$200&amp;"",CHAR(160),""))&lt;&gt;"")*(NOT(ISNUMBER('AML.05.01'!$P$11:$P$200))))=0,"OK",$G461&amp;": "&amp;$H461&amp;" ("&amp;SUMPRODUCT((TRIM(SUBSTITUTE('AML.05.01'!$P$11:$P$200&amp;"",CHAR(160),""))&lt;&gt;"")*(NOT(ISNUMBER('AML.05.01'!$P$11:$P$200))))&amp;" rows)")</f>
        <v>OK</v>
      </c>
      <c r="J461" s="57" t="str">
        <f>IF(LEN(IF(VLOOKUP("AMLA_VR_AML.05.01_C0150_01",$A:$I,9,0)&lt;&gt;"OK",CHAR(10)&amp;VLOOKUP("AMLA_VR_AML.05.01_C0150_01",$A:$I,9,0),"")&amp;IF(VLOOKUP("AMLA_VR_AML.05.01_C0150_02",$A:$I,9,0)&lt;&gt;"OK",CHAR(10)&amp;VLOOKUP("AMLA_VR_AML.05.01_C0150_02",$A:$I,9,0),""))=0,"OK",MID(IF(VLOOKUP("AMLA_VR_AML.05.01_C0150_01",$A:$I,9,0)&lt;&gt;"OK",CHAR(10)&amp;VLOOKUP("AMLA_VR_AML.05.01_C0150_01",$A:$I,9,0),"")&amp;IF(VLOOKUP("AMLA_VR_AML.05.01_C0150_02",$A:$I,9,0)&lt;&gt;"OK",CHAR(10)&amp;VLOOKUP("AMLA_VR_AML.05.01_C0150_02",$A:$I,9,0),""),2,3000))</f>
        <v>OK</v>
      </c>
      <c r="K461" s="161" t="s">
        <v>1775</v>
      </c>
    </row>
    <row r="462" spans="1:11">
      <c r="A462" s="159" t="str">
        <f>"AMLA_VR_" &amp; B462 &amp; "_" &amp; C462 &amp; "_" &amp; TEXT(COUNTIFS($B$2:B462, B462, $C$2:C462, C462), "00")</f>
        <v>AMLA_VR_AML.05.01_C0160_01</v>
      </c>
      <c r="B462" s="160" t="s">
        <v>316</v>
      </c>
      <c r="C462" s="160" t="s">
        <v>96</v>
      </c>
      <c r="D462" s="160" t="s">
        <v>1564</v>
      </c>
      <c r="E462" s="160" t="str" cm="1">
        <f t="array" aca="1" ref="E462" ca="1">IF(C462="", INDIRECT("'"&amp;B462&amp;"'!B3"), INDEX(INDIRECT("'"&amp;B462&amp;"'!5:5"), COLUMN(INDIRECT("'"&amp;B462&amp;"'!"&amp;D462))))</f>
        <v>Number of branches by country</v>
      </c>
      <c r="F462" s="157" t="s">
        <v>1772</v>
      </c>
      <c r="G462" s="160" t="s">
        <v>1773</v>
      </c>
      <c r="H462" s="160" t="s">
        <v>1835</v>
      </c>
      <c r="I462" s="160" t="str" cm="1">
        <f t="array" ref="I462">IF(SUMPRODUCT((TRIM(SUBSTITUTE('AML.05.01'!$Q$11:Q209,CHAR(160),""))&lt;&gt;"") * (IFERROR(VALUE(TRIM(SUBSTITUTE('AML.05.01'!$Q$11:Q209,CHAR(160),""))),0)&lt;0))=0, "OK", "there are (" &amp; SUMPRODUCT((TRIM(SUBSTITUTE('AML.05.01'!$Q$11:Q209,CHAR(160),""))&lt;&gt;"") * (IFERROR(VALUE(TRIM(SUBSTITUTE('AML.05.01'!$Q$11:Q209,CHAR(160),""))),0)&lt;0)) &amp; ") rows with " &amp; $G462 &amp; "(s) as " &amp; $H462)</f>
        <v>OK</v>
      </c>
      <c r="J462" s="172" t="str">
        <f>IF(LEN(IF(VLOOKUP("AMLA_VR_AML.05.01_C0160_01",$A:$I,9,0)&lt;&gt;"OK",CHAR(10)&amp;VLOOKUP("AMLA_VR_AML.05.01_C0160_01",$A:$I,9,0),"")&amp;IF(VLOOKUP("AMLA_VR_AML.05.01_C0160_02",$A:$I,9,0)&lt;&gt;"OK",CHAR(10)&amp;VLOOKUP("AMLA_VR_AML.05.01_C0160_02",$A:$I,9,0),""))=0,"OK",MID(IF(VLOOKUP("AMLA_VR_AML.05.01_C0160_01",$A:$I,9,0)&lt;&gt;"OK",CHAR(10)&amp;VLOOKUP("AMLA_VR_AML.05.01_C0160_01",$A:$I,9,0),"")&amp;IF(VLOOKUP("AMLA_VR_AML.05.01_C0160_02",$A:$I,9,0)&lt;&gt;"OK",CHAR(10)&amp;VLOOKUP("AMLA_VR_AML.05.01_C0160_02",$A:$I,9,0),""),2,3000))</f>
        <v>OK</v>
      </c>
      <c r="K462" s="161" t="s">
        <v>1775</v>
      </c>
    </row>
    <row r="463" spans="1:11">
      <c r="A463" s="159" t="str">
        <f>"AMLA_VR_" &amp; B463 &amp; "_" &amp; C463 &amp; "_" &amp; TEXT(COUNTIFS($B$2:B463, B463, $C$2:C463, C463), "00")</f>
        <v>AMLA_VR_AML.05.01_C0160_02</v>
      </c>
      <c r="B463" s="157" t="s">
        <v>316</v>
      </c>
      <c r="C463" s="157" t="s">
        <v>96</v>
      </c>
      <c r="D463" s="157" t="s">
        <v>1915</v>
      </c>
      <c r="E463" s="160" t="str" cm="1">
        <f t="array" aca="1" ref="E463" ca="1">IF(C463="", INDIRECT("'"&amp;B463&amp;"'!B3"), INDEX(INDIRECT("'"&amp;B463&amp;"'!5:5"), COLUMN(INDIRECT("'"&amp;B463&amp;"'!"&amp;D463))))</f>
        <v>Number of branches by country</v>
      </c>
      <c r="F463" s="157" t="s">
        <v>1776</v>
      </c>
      <c r="G463" s="157" t="s">
        <v>1773</v>
      </c>
      <c r="H463" s="157" t="s">
        <v>1816</v>
      </c>
      <c r="I463" s="160" t="str" cm="1">
        <f t="array" ref="I463">IF(SUMPRODUCT((TRIM(SUBSTITUTE('AML.05.01'!$Q$11:$Q$200&amp;"",CHAR(160),""))&lt;&gt;"")*((ISERROR('AML.05.01'!$Q$11:$Q$200+0)+IFERROR(INT('AML.05.01'!$Q$11:$Q$200+0)&lt;&gt;('AML.05.01'!$Q$11:$Q$200+0),1))&gt;0))=0,"OK",$G463&amp;": "&amp;$H463&amp;" ("&amp;SUMPRODUCT((TRIM(SUBSTITUTE('AML.05.01'!$Q$11:$Q$200&amp;"",CHAR(160),""))&lt;&gt;"")*((ISERROR('AML.05.01'!$Q$11:$Q$200+0)+IFERROR(INT('AML.05.01'!$Q$11:$Q$200+0)&lt;&gt;('AML.05.01'!$Q$11:$Q$200+0),1))&gt;0))&amp;" rows)")</f>
        <v>OK</v>
      </c>
      <c r="J463" s="173" t="str">
        <f>IF(LEN(IF(VLOOKUP("AMLA_VR_AML.05.01_C0160_01",$A:$I,9,0)&lt;&gt;"OK",CHAR(10)&amp;VLOOKUP("AMLA_VR_AML.05.01_C0160_01",$A:$I,9,0),"")&amp;IF(VLOOKUP("AMLA_VR_AML.05.01_C0160_02",$A:$I,9,0)&lt;&gt;"OK",CHAR(10)&amp;VLOOKUP("AMLA_VR_AML.05.01_C0160_02",$A:$I,9,0),""))=0,"OK",MID(IF(VLOOKUP("AMLA_VR_AML.05.01_C0160_01",$A:$I,9,0)&lt;&gt;"OK",CHAR(10)&amp;VLOOKUP("AMLA_VR_AML.05.01_C0160_01",$A:$I,9,0),"")&amp;IF(VLOOKUP("AMLA_VR_AML.05.01_C0160_02",$A:$I,9,0)&lt;&gt;"OK",CHAR(10)&amp;VLOOKUP("AMLA_VR_AML.05.01_C0160_02",$A:$I,9,0),""),2,3000))</f>
        <v>OK</v>
      </c>
      <c r="K463" s="158" t="s">
        <v>1775</v>
      </c>
    </row>
    <row r="464" spans="1:11">
      <c r="A464" s="159" t="str">
        <f>"AMLA_VR_" &amp; B464 &amp; "_" &amp; C464 &amp; "_" &amp; TEXT(COUNTIFS($B$2:B464, B464, $C$2:C464, C464), "00")</f>
        <v>AMLA_VR_AML.05.01_C0170_01</v>
      </c>
      <c r="B464" s="157" t="s">
        <v>316</v>
      </c>
      <c r="C464" s="157" t="s">
        <v>97</v>
      </c>
      <c r="D464" s="157" t="s">
        <v>1565</v>
      </c>
      <c r="E464" s="160" t="str" cm="1">
        <f t="array" aca="1" ref="E464" ca="1">IF(C464="", INDIRECT("'"&amp;B464&amp;"'!B3"), INDEX(INDIRECT("'"&amp;B464&amp;"'!5:5"), COLUMN(INDIRECT("'"&amp;B464&amp;"'!"&amp;D464))))</f>
        <v>Number of subsidiaries by country</v>
      </c>
      <c r="F464" s="157" t="s">
        <v>1772</v>
      </c>
      <c r="G464" s="157" t="s">
        <v>1773</v>
      </c>
      <c r="H464" s="157" t="s">
        <v>1836</v>
      </c>
      <c r="I464" s="160" t="str" cm="1">
        <f t="array" ref="I464">IF(SUMPRODUCT((TRIM(SUBSTITUTE('AML.05.01'!$R$11:R209,CHAR(160),""))&lt;&gt;"") * (IFERROR(VALUE(TRIM(SUBSTITUTE('AML.05.01'!$R$11:R209,CHAR(160),""))),0)&lt;0))=0, "OK", "there are (" &amp; SUMPRODUCT((TRIM(SUBSTITUTE('AML.05.01'!$R$11:R209,CHAR(160),""))&lt;&gt;"") * (IFERROR(VALUE(TRIM(SUBSTITUTE('AML.05.01'!$R$11:R209,CHAR(160),""))),0)&lt;0)) &amp; ") rows with " &amp; $G464 &amp; "(s) as " &amp; $H464)</f>
        <v>OK</v>
      </c>
      <c r="J464" s="173" t="str">
        <f>IF(LEN(IF(VLOOKUP("AMLA_VR_AML.05.01_C0170_01",$A:$I,9,0)&lt;&gt;"OK",CHAR(10)&amp;VLOOKUP("AMLA_VR_AML.05.01_C0170_01",$A:$I,9,0),"")&amp;IF(VLOOKUP("AMLA_VR_AML.05.01_C0170_02",$A:$I,9,0)&lt;&gt;"OK",CHAR(10)&amp;VLOOKUP("AMLA_VR_AML.05.01_C0170_02",$A:$I,9,0),""))=0,"OK",MID(IF(VLOOKUP("AMLA_VR_AML.05.01_C0170_01",$A:$I,9,0)&lt;&gt;"OK",CHAR(10)&amp;VLOOKUP("AMLA_VR_AML.05.01_C0170_01",$A:$I,9,0),"")&amp;IF(VLOOKUP("AMLA_VR_AML.05.01_C0170_02",$A:$I,9,0)&lt;&gt;"OK",CHAR(10)&amp;VLOOKUP("AMLA_VR_AML.05.01_C0170_02",$A:$I,9,0),""),2,3000))</f>
        <v>OK</v>
      </c>
      <c r="K464" s="158" t="s">
        <v>1775</v>
      </c>
    </row>
    <row r="465" spans="1:11">
      <c r="A465" s="159" t="str">
        <f>"AMLA_VR_" &amp; B465 &amp; "_" &amp; C465 &amp; "_" &amp; TEXT(COUNTIFS($B$2:B465, B465, $C$2:C465, C465), "00")</f>
        <v>AMLA_VR_AML.05.01_C0170_02</v>
      </c>
      <c r="B465" s="160" t="s">
        <v>316</v>
      </c>
      <c r="C465" s="160" t="s">
        <v>97</v>
      </c>
      <c r="D465" s="160" t="s">
        <v>1916</v>
      </c>
      <c r="E465" s="160" t="str" cm="1">
        <f t="array" aca="1" ref="E465" ca="1">IF(C465="", INDIRECT("'"&amp;B465&amp;"'!B3"), INDEX(INDIRECT("'"&amp;B465&amp;"'!5:5"), COLUMN(INDIRECT("'"&amp;B465&amp;"'!"&amp;D465))))</f>
        <v>Number of subsidiaries by country</v>
      </c>
      <c r="F465" s="160" t="s">
        <v>1776</v>
      </c>
      <c r="G465" s="160" t="s">
        <v>1773</v>
      </c>
      <c r="H465" s="160" t="s">
        <v>1816</v>
      </c>
      <c r="I465" s="160" t="str" cm="1">
        <f t="array" ref="I465">IF(SUMPRODUCT((TRIM(SUBSTITUTE('AML.05.01'!$R$11:$R$200&amp;"",CHAR(160),""))&lt;&gt;"")*((ISERROR('AML.05.01'!$R$11:$R$200+0)+IFERROR(INT('AML.05.01'!$R$11:$R$200+0)&lt;&gt;('AML.05.01'!$R$11:$R$200+0),1))&gt;0))=0,"OK",$G465&amp;": "&amp;$H465&amp;" ("&amp;SUMPRODUCT((TRIM(SUBSTITUTE('AML.05.01'!$R$11:$R$200&amp;"",CHAR(160),""))&lt;&gt;"")*((ISERROR('AML.05.01'!$R$11:$R$200+0)+IFERROR(INT('AML.05.01'!$R$11:$R$200+0)&lt;&gt;('AML.05.01'!$R$11:$R$200+0),1))&gt;0))&amp;" rows)")</f>
        <v>OK</v>
      </c>
      <c r="J465" s="172" t="str">
        <f>IF(LEN(IF(VLOOKUP("AMLA_VR_AML.05.01_C0170_01",$A:$I,9,0)&lt;&gt;"OK",CHAR(10)&amp;VLOOKUP("AMLA_VR_AML.05.01_C0170_01",$A:$I,9,0),"")&amp;IF(VLOOKUP("AMLA_VR_AML.05.01_C0170_02",$A:$I,9,0)&lt;&gt;"OK",CHAR(10)&amp;VLOOKUP("AMLA_VR_AML.05.01_C0170_02",$A:$I,9,0),""))=0,"OK",MID(IF(VLOOKUP("AMLA_VR_AML.05.01_C0170_01",$A:$I,9,0)&lt;&gt;"OK",CHAR(10)&amp;VLOOKUP("AMLA_VR_AML.05.01_C0170_01",$A:$I,9,0),"")&amp;IF(VLOOKUP("AMLA_VR_AML.05.01_C0170_02",$A:$I,9,0)&lt;&gt;"OK",CHAR(10)&amp;VLOOKUP("AMLA_VR_AML.05.01_C0170_02",$A:$I,9,0),""),2,3000))</f>
        <v>OK</v>
      </c>
      <c r="K465" s="161" t="s">
        <v>1775</v>
      </c>
    </row>
    <row r="466" spans="1:11">
      <c r="A466" s="159" t="str">
        <f>"AMLA_VR_" &amp; B466 &amp; "_" &amp; C466 &amp; "_" &amp; TEXT(COUNTIFS($B$2:B466, B466, $C$2:C466, C466), "00")</f>
        <v>AMLA_VR_AML.06.01_C0010_01</v>
      </c>
      <c r="B466" s="160" t="s">
        <v>331</v>
      </c>
      <c r="C466" s="160" t="s">
        <v>81</v>
      </c>
      <c r="D466" s="160" t="s">
        <v>1549</v>
      </c>
      <c r="E466" s="160" t="str" cm="1">
        <f t="array" aca="1" ref="E466" ca="1">IF(C466="", INDIRECT("'"&amp;B466&amp;"'!B3"), INDEX(INDIRECT("'"&amp;B466&amp;"'!5:5"), COLUMN(INDIRECT("'"&amp;B466&amp;"'!"&amp;D466))))</f>
        <v>Country</v>
      </c>
      <c r="F466" s="157" t="s">
        <v>1772</v>
      </c>
      <c r="G466" s="160" t="s">
        <v>1773</v>
      </c>
      <c r="H466" s="160" t="s">
        <v>1894</v>
      </c>
      <c r="I466" s="160" t="str">
        <f>IF(SUMPRODUCT((TRIM(SUBSTITUTE('AML.06.01'!$B$11:B209,CHAR(160),""))&lt;&gt;"") * (TRIM(SUBSTITUTE('AML.06.01'!$B$11:B209,CHAR(160),""))=""))=0, "OK", "there are (" &amp; SUMPRODUCT((TRIM(SUBSTITUTE('AML.06.01'!$B$11:B209,CHAR(160),""))&lt;&gt;"") * (TRIM(SUBSTITUTE('AML.06.01'!$B$11:B209,CHAR(160),""))="")) &amp; ") rows with " &amp; $G466 &amp; "(s) as " &amp; $H466)</f>
        <v>OK</v>
      </c>
      <c r="J466" s="57" t="str">
        <f>IF(LEN(IF(VLOOKUP("AMLA_VR_AML.06.01_C0010_01",$A:$I,9,0)&lt;&gt;"OK",CHAR(10)&amp;VLOOKUP("AMLA_VR_AML.06.01_C0010_01",$A:$I,9,0),"")&amp;IF(VLOOKUP("AMLA_VR_AML.06.01_C0010_02",$A:$I,9,0)&lt;&gt;"OK",CHAR(10)&amp;VLOOKUP("AMLA_VR_AML.06.01_C0010_02",$A:$I,9,0),"")&amp;IF(VLOOKUP("AMLA_VR_AML.06.01_C0010_03",$A:$I,9,0)&lt;&gt;"OK",CHAR(10)&amp;VLOOKUP("AMLA_VR_AML.06.01_C0010_03",$A:$I,9,0),""))=0,"OK",MID(IF(VLOOKUP("AMLA_VR_AML.06.01_C0010_01",$A:$I,9,0)&lt;&gt;"OK",CHAR(10)&amp;VLOOKUP("AMLA_VR_AML.06.01_C0010_01",$A:$I,9,0),"")&amp;IF(VLOOKUP("AMLA_VR_AML.06.01_C0010_02",$A:$I,9,0)&lt;&gt;"OK",CHAR(10)&amp;VLOOKUP("AMLA_VR_AML.06.01_C0010_02",$A:$I,9,0),"")&amp;IF(VLOOKUP("AMLA_VR_AML.06.01_C0010_03",$A:$I,9,0)&lt;&gt;"OK",CHAR(10)&amp;VLOOKUP("AMLA_VR_AML.06.01_C0010_03",$A:$I,9,0),""),2,3000))</f>
        <v>OK</v>
      </c>
      <c r="K466" s="161" t="s">
        <v>1775</v>
      </c>
    </row>
    <row r="467" spans="1:11">
      <c r="A467" s="159" t="str">
        <f>"AMLA_VR_" &amp; B467 &amp; "_" &amp; C467 &amp; "_" &amp; TEXT(COUNTIFS($B$2:B467, B467, $C$2:C467, C467), "00")</f>
        <v>AMLA_VR_AML.06.01_C0010_02</v>
      </c>
      <c r="B467" s="157" t="s">
        <v>331</v>
      </c>
      <c r="C467" s="157" t="s">
        <v>81</v>
      </c>
      <c r="D467" s="157" t="s">
        <v>1549</v>
      </c>
      <c r="E467" s="160" t="str" cm="1">
        <f t="array" aca="1" ref="E467" ca="1">IF(C467="", INDIRECT("'"&amp;B467&amp;"'!B3"), INDEX(INDIRECT("'"&amp;B467&amp;"'!5:5"), COLUMN(INDIRECT("'"&amp;B467&amp;"'!"&amp;D467))))</f>
        <v>Country</v>
      </c>
      <c r="F467" s="157" t="s">
        <v>1772</v>
      </c>
      <c r="G467" s="157" t="s">
        <v>1773</v>
      </c>
      <c r="H467" s="157" t="s">
        <v>1895</v>
      </c>
      <c r="I467" s="160" t="str">
        <f>IF(SUMPRODUCT(('AML.06.01'!$B$11:B209&lt;&gt;"") * (COUNTIF('AML.06.01'!$B$11:B209, 'AML.06.01'!$B$11:B209)&gt;1))=0, "OK", "there are (" &amp; SUMPRODUCT(('AML.06.01'!$B$11:B209&lt;&gt;"") * (COUNTIF('AML.06.01'!$B$11:B209, 'AML.06.01'!$B$11:B209)&gt;1)) &amp; ") rows with " &amp; $G467 &amp; "(s) as " &amp; $H467)</f>
        <v>OK</v>
      </c>
      <c r="J467" s="171" t="str">
        <f>IF(LEN(IF(VLOOKUP("AMLA_VR_AML.06.01_C0010_01",$A:$I,9,0)&lt;&gt;"OK",CHAR(10)&amp;VLOOKUP("AMLA_VR_AML.06.01_C0010_01",$A:$I,9,0),"")&amp;IF(VLOOKUP("AMLA_VR_AML.06.01_C0010_02",$A:$I,9,0)&lt;&gt;"OK",CHAR(10)&amp;VLOOKUP("AMLA_VR_AML.06.01_C0010_02",$A:$I,9,0),"")&amp;IF(VLOOKUP("AMLA_VR_AML.06.01_C0010_03",$A:$I,9,0)&lt;&gt;"OK",CHAR(10)&amp;VLOOKUP("AMLA_VR_AML.06.01_C0010_03",$A:$I,9,0),""))=0,"OK",MID(IF(VLOOKUP("AMLA_VR_AML.06.01_C0010_01",$A:$I,9,0)&lt;&gt;"OK",CHAR(10)&amp;VLOOKUP("AMLA_VR_AML.06.01_C0010_01",$A:$I,9,0),"")&amp;IF(VLOOKUP("AMLA_VR_AML.06.01_C0010_02",$A:$I,9,0)&lt;&gt;"OK",CHAR(10)&amp;VLOOKUP("AMLA_VR_AML.06.01_C0010_02",$A:$I,9,0),"")&amp;IF(VLOOKUP("AMLA_VR_AML.06.01_C0010_03",$A:$I,9,0)&lt;&gt;"OK",CHAR(10)&amp;VLOOKUP("AMLA_VR_AML.06.01_C0010_03",$A:$I,9,0),""),2,3000))</f>
        <v>OK</v>
      </c>
      <c r="K467" s="158" t="s">
        <v>1775</v>
      </c>
    </row>
    <row r="468" spans="1:11">
      <c r="A468" s="159" t="str">
        <f>"AMLA_VR_" &amp; B468 &amp; "_" &amp; C468 &amp; "_" &amp; TEXT(COUNTIFS($B$2:B468, B468, $C$2:C468, C468), "00")</f>
        <v>AMLA_VR_AML.06.01_C0010_03</v>
      </c>
      <c r="B468" s="157" t="s">
        <v>331</v>
      </c>
      <c r="C468" s="157" t="s">
        <v>81</v>
      </c>
      <c r="D468" s="157" t="s">
        <v>1896</v>
      </c>
      <c r="E468" s="160" t="str" cm="1">
        <f t="array" aca="1" ref="E468" ca="1">IF(C468="", INDIRECT("'"&amp;B468&amp;"'!B3"), INDEX(INDIRECT("'"&amp;B468&amp;"'!5:5"), COLUMN(INDIRECT("'"&amp;B468&amp;"'!"&amp;D468))))</f>
        <v>Country</v>
      </c>
      <c r="F468" s="157" t="s">
        <v>1776</v>
      </c>
      <c r="G468" s="157" t="s">
        <v>1773</v>
      </c>
      <c r="H468" s="157" t="s">
        <v>1782</v>
      </c>
      <c r="I468" s="160" t="str">
        <f>IF(SUMPRODUCT((TRIM(SUBSTITUTE('AML.06.01'!$B$11:$B$200&amp;"",CHAR(160),""))&lt;&gt;"")*(ISNA(MATCH('AML.06.01'!$B$11:$B$200,LIST_AMLA_00005,0))))=0,"OK",$G468&amp;": "&amp;$H468&amp;" ("&amp;SUMPRODUCT((TRIM(SUBSTITUTE('AML.06.01'!$B$11:$B$200&amp;"",CHAR(160),""))&lt;&gt;"")*(ISNA(MATCH('AML.06.01'!$B$11:$B$200,LIST_AMLA_00005,0))))&amp;" rows)")</f>
        <v>OK</v>
      </c>
      <c r="J468" s="171" t="str">
        <f>IF(LEN(IF(VLOOKUP("AMLA_VR_AML.06.01_C0010_01",$A:$I,9,0)&lt;&gt;"OK",CHAR(10)&amp;VLOOKUP("AMLA_VR_AML.06.01_C0010_01",$A:$I,9,0),"")&amp;IF(VLOOKUP("AMLA_VR_AML.06.01_C0010_02",$A:$I,9,0)&lt;&gt;"OK",CHAR(10)&amp;VLOOKUP("AMLA_VR_AML.06.01_C0010_02",$A:$I,9,0),"")&amp;IF(VLOOKUP("AMLA_VR_AML.06.01_C0010_03",$A:$I,9,0)&lt;&gt;"OK",CHAR(10)&amp;VLOOKUP("AMLA_VR_AML.06.01_C0010_03",$A:$I,9,0),""))=0,"OK",MID(IF(VLOOKUP("AMLA_VR_AML.06.01_C0010_01",$A:$I,9,0)&lt;&gt;"OK",CHAR(10)&amp;VLOOKUP("AMLA_VR_AML.06.01_C0010_01",$A:$I,9,0),"")&amp;IF(VLOOKUP("AMLA_VR_AML.06.01_C0010_02",$A:$I,9,0)&lt;&gt;"OK",CHAR(10)&amp;VLOOKUP("AMLA_VR_AML.06.01_C0010_02",$A:$I,9,0),"")&amp;IF(VLOOKUP("AMLA_VR_AML.06.01_C0010_03",$A:$I,9,0)&lt;&gt;"OK",CHAR(10)&amp;VLOOKUP("AMLA_VR_AML.06.01_C0010_03",$A:$I,9,0),""),2,3000))</f>
        <v>OK</v>
      </c>
      <c r="K468" s="158" t="s">
        <v>1775</v>
      </c>
    </row>
    <row r="469" spans="1:11">
      <c r="A469" s="159" t="str">
        <f>"AMLA_VR_" &amp; B469 &amp; "_" &amp; C469 &amp; "_" &amp; TEXT(COUNTIFS($B$2:B469, B469, $C$2:C469, C469), "00")</f>
        <v>AMLA_VR_AML.06.01_C0020_01</v>
      </c>
      <c r="B469" s="160" t="s">
        <v>331</v>
      </c>
      <c r="C469" s="160" t="s">
        <v>82</v>
      </c>
      <c r="D469" s="160" t="s">
        <v>1550</v>
      </c>
      <c r="E469" s="160" t="str" cm="1">
        <f t="array" aca="1" ref="E469" ca="1">IF(C469="", INDIRECT("'"&amp;B469&amp;"'!B3"), INDEX(INDIRECT("'"&amp;B469&amp;"'!5:5"), COLUMN(INDIRECT("'"&amp;B469&amp;"'!"&amp;D469))))</f>
        <v>Number of agents by country</v>
      </c>
      <c r="F469" s="157" t="s">
        <v>1772</v>
      </c>
      <c r="G469" s="160" t="s">
        <v>1773</v>
      </c>
      <c r="H469" s="160" t="s">
        <v>1819</v>
      </c>
      <c r="I469" s="160" t="str" cm="1">
        <f t="array" ref="I469">IF(
  SUMPRODUCT(
    (TRIM(SUBSTITUTE('AML.06.01'!$C$11:$C$283&amp;"",CHAR(160),""))&lt;&gt;"") *
    (IFERROR(VALUE(TRIM(SUBSTITUTE('AML.06.01'!$C$11:$C$283&amp;"",CHAR(160),""))),0)&lt;0)
  )=0,
  "OK",
  "there are (" &amp;
  SUMPRODUCT(
    (TRIM(SUBSTITUTE('AML.06.01'!$C$11:$C$283&amp;"",CHAR(160),""))&lt;&gt;"") *
    (IFERROR(VALUE(TRIM(SUBSTITUTE('AML.06.01'!$C$11:$C$283&amp;"",CHAR(160),""))),0)&lt;0)
  ) &amp;
  ") rows with " &amp; $G469 &amp; "(s) as " &amp; $H469
)</f>
        <v>OK</v>
      </c>
      <c r="J469" s="57" t="str">
        <f>IF(LEN(IF(VLOOKUP("AMLA_VR_AML.06.01_C0020_01",$A:$I,9,0)&lt;&gt;"OK",CHAR(10)&amp;VLOOKUP("AMLA_VR_AML.06.01_C0020_01",$A:$I,9,0),"")&amp;IF(VLOOKUP("AMLA_VR_AML.06.01_C0020_02",$A:$I,9,0)&lt;&gt;"OK",CHAR(10)&amp;VLOOKUP("AMLA_VR_AML.06.01_C0020_02",$A:$I,9,0),""))=0,"OK",MID(IF(VLOOKUP("AMLA_VR_AML.06.01_C0020_01",$A:$I,9,0)&lt;&gt;"OK",CHAR(10)&amp;VLOOKUP("AMLA_VR_AML.06.01_C0020_01",$A:$I,9,0),"")&amp;IF(VLOOKUP("AMLA_VR_AML.06.01_C0020_02",$A:$I,9,0)&lt;&gt;"OK",CHAR(10)&amp;VLOOKUP("AMLA_VR_AML.06.01_C0020_02",$A:$I,9,0),""),2,3000))</f>
        <v>OK</v>
      </c>
      <c r="K469" s="161" t="s">
        <v>1775</v>
      </c>
    </row>
    <row r="470" spans="1:11">
      <c r="A470" s="159" t="str">
        <f>"AMLA_VR_" &amp; B470 &amp; "_" &amp; C470 &amp; "_" &amp; TEXT(COUNTIFS($B$2:B470, B470, $C$2:C470, C470), "00")</f>
        <v>AMLA_VR_AML.06.01_C0020_02</v>
      </c>
      <c r="B470" s="160" t="s">
        <v>331</v>
      </c>
      <c r="C470" s="160" t="s">
        <v>82</v>
      </c>
      <c r="D470" s="160" t="s">
        <v>1897</v>
      </c>
      <c r="E470" s="160" t="str" cm="1">
        <f t="array" aca="1" ref="E470" ca="1">IF(C470="", INDIRECT("'"&amp;B470&amp;"'!B3"), INDEX(INDIRECT("'"&amp;B470&amp;"'!5:5"), COLUMN(INDIRECT("'"&amp;B470&amp;"'!"&amp;D470))))</f>
        <v>Number of agents by country</v>
      </c>
      <c r="F470" s="160" t="s">
        <v>1776</v>
      </c>
      <c r="G470" s="160" t="s">
        <v>1773</v>
      </c>
      <c r="H470" s="160" t="s">
        <v>1816</v>
      </c>
      <c r="I470" s="57" t="str" cm="1">
        <f t="array" ref="I470">IF(
  SUMPRODUCT(
    (TRIM(SUBSTITUTE('AML.06.01'!$C$11:$C$200&amp;"",CHAR(160),""))&lt;&gt;"") *
    (
      ISERROR('AML.06.01'!$C$11:$C$200+0) +
      (IFERROR(INT('AML.06.01'!$C$11:$C$200+0),0)&lt;&gt;('AML.06.01'!$C$11:$C$200+0))
    &gt;0
    )
  )=0,
  "OK",
  $G470&amp;": "&amp;$H470&amp;" ("&amp;
  SUMPRODUCT(
    (TRIM(SUBSTITUTE('AML.06.01'!$C$11:$C$200&amp;"",CHAR(160),""))&lt;&gt;"") *
    (
      ISERROR('AML.06.01'!$C$11:$C$200+0) +
      (IFERROR(INT('AML.06.01'!$C$11:$C$200+0),0)&lt;&gt;('AML.06.01'!$C$11:$C$200+0))
    &gt;0
    )
  )&amp;" rows)"
)</f>
        <v>OK</v>
      </c>
      <c r="J470" s="57" t="str">
        <f>IF(LEN(IF(VLOOKUP("AMLA_VR_AML.06.01_C0020_01",$A:$I,9,0)&lt;&gt;"OK",CHAR(10)&amp;VLOOKUP("AMLA_VR_AML.06.01_C0020_01",$A:$I,9,0),"")&amp;IF(VLOOKUP("AMLA_VR_AML.06.01_C0020_02",$A:$I,9,0)&lt;&gt;"OK",CHAR(10)&amp;VLOOKUP("AMLA_VR_AML.06.01_C0020_02",$A:$I,9,0),""))=0,"OK",MID(IF(VLOOKUP("AMLA_VR_AML.06.01_C0020_01",$A:$I,9,0)&lt;&gt;"OK",CHAR(10)&amp;VLOOKUP("AMLA_VR_AML.06.01_C0020_01",$A:$I,9,0),"")&amp;IF(VLOOKUP("AMLA_VR_AML.06.01_C0020_02",$A:$I,9,0)&lt;&gt;"OK",CHAR(10)&amp;VLOOKUP("AMLA_VR_AML.06.01_C0020_02",$A:$I,9,0),""),2,3000))</f>
        <v>OK</v>
      </c>
      <c r="K470" s="161" t="s">
        <v>1775</v>
      </c>
    </row>
    <row r="471" spans="1:11">
      <c r="A471" s="159" t="str">
        <f>"AMLA_VR_" &amp; B471 &amp; "_" &amp; C471 &amp; "_" &amp; TEXT(COUNTIFS($B$2:B471, B471, $C$2:C471, C471), "00")</f>
        <v>AMLA_VR_AML.06.01_C0030_01</v>
      </c>
      <c r="B471" s="157" t="s">
        <v>331</v>
      </c>
      <c r="C471" s="157" t="s">
        <v>83</v>
      </c>
      <c r="D471" s="157" t="s">
        <v>1551</v>
      </c>
      <c r="E471" s="160" t="str" cm="1">
        <f t="array" aca="1" ref="E471" ca="1">IF(C471="", INDIRECT("'"&amp;B471&amp;"'!B3"), INDEX(INDIRECT("'"&amp;B471&amp;"'!5:5"), COLUMN(INDIRECT("'"&amp;B471&amp;"'!"&amp;D471))))</f>
        <v>Number of distributors by country</v>
      </c>
      <c r="F471" s="157" t="s">
        <v>1772</v>
      </c>
      <c r="G471" s="157" t="s">
        <v>1773</v>
      </c>
      <c r="H471" s="157" t="s">
        <v>1820</v>
      </c>
      <c r="I471" s="160" t="str" cm="1">
        <f t="array" ref="I471">IF(
  SUMPRODUCT(
    (TRIM(SUBSTITUTE('AML.06.01'!$D$11:$D$283&amp;"",CHAR(160),""))&lt;&gt;"") *
    (IFERROR(VALUE(TRIM(SUBSTITUTE('AML.06.01'!$D$11:$D$283&amp;"",CHAR(160),""))),0)&lt;0)
  )=0,
  "OK",
  "there are (" &amp;
  SUMPRODUCT(
    (TRIM(SUBSTITUTE('AML.06.01'!$D$11:$D$283&amp;"",CHAR(160),""))&lt;&gt;"") *
    (IFERROR(VALUE(TRIM(SUBSTITUTE('AML.06.01'!$D$11:$D$283&amp;"",CHAR(160),""))),0)&lt;0)
  ) &amp;
  ") rows with " &amp; $G471 &amp; "(s) as " &amp; $H471
)</f>
        <v>OK</v>
      </c>
      <c r="J471" s="171" t="str">
        <f>IF(LEN(IF(VLOOKUP("AMLA_VR_AML.06.01_C0030_01",$A:$I,9,0)&lt;&gt;"OK",CHAR(10)&amp;VLOOKUP("AMLA_VR_AML.06.01_C0030_01",$A:$I,9,0),"")&amp;IF(VLOOKUP("AMLA_VR_AML.06.01_C0030_02",$A:$I,9,0)&lt;&gt;"OK",CHAR(10)&amp;VLOOKUP("AMLA_VR_AML.06.01_C0030_02",$A:$I,9,0),""))=0,"OK",MID(IF(VLOOKUP("AMLA_VR_AML.06.01_C0030_01",$A:$I,9,0)&lt;&gt;"OK",CHAR(10)&amp;VLOOKUP("AMLA_VR_AML.06.01_C0030_01",$A:$I,9,0),"")&amp;IF(VLOOKUP("AMLA_VR_AML.06.01_C0030_02",$A:$I,9,0)&lt;&gt;"OK",CHAR(10)&amp;VLOOKUP("AMLA_VR_AML.06.01_C0030_02",$A:$I,9,0),""),2,3000))</f>
        <v>OK</v>
      </c>
      <c r="K471" s="158" t="s">
        <v>1775</v>
      </c>
    </row>
    <row r="472" spans="1:11">
      <c r="A472" s="159" t="str">
        <f>"AMLA_VR_" &amp; B472 &amp; "_" &amp; C472 &amp; "_" &amp; TEXT(COUNTIFS($B$2:B472, B472, $C$2:C472, C472), "00")</f>
        <v>AMLA_VR_AML.06.01_C0030_02</v>
      </c>
      <c r="B472" s="157" t="s">
        <v>331</v>
      </c>
      <c r="C472" s="157" t="s">
        <v>83</v>
      </c>
      <c r="D472" s="157" t="s">
        <v>1899</v>
      </c>
      <c r="E472" s="160" t="str" cm="1">
        <f t="array" aca="1" ref="E472" ca="1">IF(C472="", INDIRECT("'"&amp;B472&amp;"'!B3"), INDEX(INDIRECT("'"&amp;B472&amp;"'!5:5"), COLUMN(INDIRECT("'"&amp;B472&amp;"'!"&amp;D472))))</f>
        <v>Number of distributors by country</v>
      </c>
      <c r="F472" s="157" t="s">
        <v>1776</v>
      </c>
      <c r="G472" s="157" t="s">
        <v>1773</v>
      </c>
      <c r="H472" s="157" t="s">
        <v>1816</v>
      </c>
      <c r="I472" s="160" t="str" cm="1">
        <f t="array" ref="I472">IF(
  SUMPRODUCT(
    (TRIM(SUBSTITUTE('AML.06.01'!$D$11:$D$200&amp;"",CHAR(160),""))&lt;&gt;"") *
    (
      ISERROR('AML.06.01'!$D$11:$D$200+0) +
      (IFERROR(INT('AML.06.01'!$D$11:$D$200+0),0)&lt;&gt;('AML.06.01'!$D$11:$D$200+0))
    &gt;0
    )
  )=0,
  "OK",
  $G472&amp;": "&amp;$H472&amp;" ("&amp;
  SUMPRODUCT(
    (TRIM(SUBSTITUTE('AML.06.01'!$D$11:$D$200&amp;"",CHAR(160),""))&lt;&gt;"") *
    (
      ISERROR('AML.06.01'!$D$11:$D$200+0) +
      (IFERROR(INT('AML.06.01'!$D$11:$D$200+0),0)&lt;&gt;('AML.06.01'!$D$11:$D$200+0))
    &gt;0
    )
  )&amp;" rows)"
)</f>
        <v>OK</v>
      </c>
      <c r="J472" s="171" t="str">
        <f>IF(LEN(IF(VLOOKUP("AMLA_VR_AML.06.01_C0030_01",$A:$I,9,0)&lt;&gt;"OK",CHAR(10)&amp;VLOOKUP("AMLA_VR_AML.06.01_C0030_01",$A:$I,9,0),"")&amp;IF(VLOOKUP("AMLA_VR_AML.06.01_C0030_02",$A:$I,9,0)&lt;&gt;"OK",CHAR(10)&amp;VLOOKUP("AMLA_VR_AML.06.01_C0030_02",$A:$I,9,0),""))=0,"OK",MID(IF(VLOOKUP("AMLA_VR_AML.06.01_C0030_01",$A:$I,9,0)&lt;&gt;"OK",CHAR(10)&amp;VLOOKUP("AMLA_VR_AML.06.01_C0030_01",$A:$I,9,0),"")&amp;IF(VLOOKUP("AMLA_VR_AML.06.01_C0030_02",$A:$I,9,0)&lt;&gt;"OK",CHAR(10)&amp;VLOOKUP("AMLA_VR_AML.06.01_C0030_02",$A:$I,9,0),""),2,3000))</f>
        <v>OK</v>
      </c>
      <c r="K472" s="158" t="s">
        <v>1775</v>
      </c>
    </row>
    <row r="473" spans="1:11">
      <c r="A473" s="159" t="str">
        <f>"AMLA_VR_" &amp; B473 &amp; "_" &amp; C473 &amp; "_" &amp; TEXT(COUNTIFS($B$2:B473, B473, $C$2:C473, C473), "00")</f>
        <v>AMLA_VR_AML.06.01_C0040_01</v>
      </c>
      <c r="B473" s="160" t="s">
        <v>331</v>
      </c>
      <c r="C473" s="160" t="s">
        <v>84</v>
      </c>
      <c r="D473" s="160" t="s">
        <v>1552</v>
      </c>
      <c r="E473" s="160" t="str" cm="1">
        <f t="array" aca="1" ref="E473" ca="1">IF(C473="", INDIRECT("'"&amp;B473&amp;"'!B3"), INDEX(INDIRECT("'"&amp;B473&amp;"'!5:5"), COLUMN(INDIRECT("'"&amp;B473&amp;"'!"&amp;D473))))</f>
        <v>Gross Written Premiums through Brokers - Value</v>
      </c>
      <c r="F473" s="157" t="s">
        <v>1772</v>
      </c>
      <c r="G473" s="160" t="s">
        <v>1773</v>
      </c>
      <c r="H473" s="160" t="s">
        <v>1821</v>
      </c>
      <c r="I473" s="160" t="str" cm="1">
        <f t="array" ref="I473">IF(
  SUMPRODUCT(
    (TRIM(SUBSTITUTE('AML.06.01'!$E$11:$E$283&amp;"",CHAR(160),""))&lt;&gt;"") *
    (IFERROR(VALUE(TRIM(SUBSTITUTE('AML.06.01'!$E$11:$E$283&amp;"",CHAR(160),""))),0)&lt;0)
  )=0,
  "OK",
  "there are (" &amp;
  SUMPRODUCT(
    (TRIM(SUBSTITUTE('AML.06.01'!$E$11:$E$283&amp;"",CHAR(160),""))&lt;&gt;"") *
    (IFERROR(VALUE(TRIM(SUBSTITUTE('AML.06.01'!$E$11:$E$283&amp;"",CHAR(160),""))),0)&lt;0)
  ) &amp;
  ") rows with " &amp; $G473 &amp; "(s) as " &amp; $H473
)</f>
        <v>OK</v>
      </c>
      <c r="J473" s="57" t="str">
        <f>IF(LEN(IF(VLOOKUP("AMLA_VR_AML.06.01_C0040_01",$A:$I,9,0)&lt;&gt;"OK",CHAR(10)&amp;VLOOKUP("AMLA_VR_AML.06.01_C0040_01",$A:$I,9,0),"")&amp;IF(VLOOKUP("AMLA_VR_AML.06.01_C0040_02",$A:$I,9,0)&lt;&gt;"OK",CHAR(10)&amp;VLOOKUP("AMLA_VR_AML.06.01_C0040_02",$A:$I,9,0),""))=0,"OK",MID(IF(VLOOKUP("AMLA_VR_AML.06.01_C0040_01",$A:$I,9,0)&lt;&gt;"OK",CHAR(10)&amp;VLOOKUP("AMLA_VR_AML.06.01_C0040_01",$A:$I,9,0),"")&amp;IF(VLOOKUP("AMLA_VR_AML.06.01_C0040_02",$A:$I,9,0)&lt;&gt;"OK",CHAR(10)&amp;VLOOKUP("AMLA_VR_AML.06.01_C0040_02",$A:$I,9,0),""),2,3000))</f>
        <v>OK</v>
      </c>
      <c r="K473" s="161" t="s">
        <v>1775</v>
      </c>
    </row>
    <row r="474" spans="1:11">
      <c r="A474" s="159" t="str">
        <f>"AMLA_VR_" &amp; B474 &amp; "_" &amp; C474 &amp; "_" &amp; TEXT(COUNTIFS($B$2:B474, B474, $C$2:C474, C474), "00")</f>
        <v>AMLA_VR_AML.06.01_C0040_02</v>
      </c>
      <c r="B474" s="160" t="s">
        <v>331</v>
      </c>
      <c r="C474" s="160" t="s">
        <v>84</v>
      </c>
      <c r="D474" s="160" t="s">
        <v>1901</v>
      </c>
      <c r="E474" s="160" t="str" cm="1">
        <f t="array" aca="1" ref="E474" ca="1">IF(C474="", INDIRECT("'"&amp;B474&amp;"'!B3"), INDEX(INDIRECT("'"&amp;B474&amp;"'!5:5"), COLUMN(INDIRECT("'"&amp;B474&amp;"'!"&amp;D474))))</f>
        <v>Gross Written Premiums through Brokers - Value</v>
      </c>
      <c r="F474" s="160" t="s">
        <v>1776</v>
      </c>
      <c r="G474" s="160" t="s">
        <v>1773</v>
      </c>
      <c r="H474" s="160" t="s">
        <v>1917</v>
      </c>
      <c r="I474" s="160" t="str" cm="1">
        <f t="array" ref="I474">IF(
  SUMPRODUCT(
    (TRIM(SUBSTITUTE('AML.06.01'!$E$11:$E$283&amp;"",CHAR(160),""))&lt;&gt;"") *
    ISERROR(VALUE(TRIM(SUBSTITUTE('AML.06.01'!$E$11:$E$283&amp;"",CHAR(160),""))))
  )=0,
  "OK",
  "there are (" &amp;
  SUMPRODUCT(
    (TRIM(SUBSTITUTE('AML.06.01'!$E$11:$E$283&amp;"",CHAR(160),""))&lt;&gt;"") *
    ISERROR(VALUE(TRIM(SUBSTITUTE('AML.06.01'!$E$11:$E$283&amp;"",CHAR(160),""))))
  ) &amp;
  ") rows with " &amp; $G474 &amp; "(s) as " &amp; $H474
)</f>
        <v>OK</v>
      </c>
      <c r="J474" s="57" t="str">
        <f>IF(LEN(IF(VLOOKUP("AMLA_VR_AML.06.01_C0040_01",$A:$I,9,0)&lt;&gt;"OK",CHAR(10)&amp;VLOOKUP("AMLA_VR_AML.06.01_C0040_01",$A:$I,9,0),"")&amp;IF(VLOOKUP("AMLA_VR_AML.06.01_C0040_02",$A:$I,9,0)&lt;&gt;"OK",CHAR(10)&amp;VLOOKUP("AMLA_VR_AML.06.01_C0040_02",$A:$I,9,0),""))=0,"OK",MID(IF(VLOOKUP("AMLA_VR_AML.06.01_C0040_01",$A:$I,9,0)&lt;&gt;"OK",CHAR(10)&amp;VLOOKUP("AMLA_VR_AML.06.01_C0040_01",$A:$I,9,0),"")&amp;IF(VLOOKUP("AMLA_VR_AML.06.01_C0040_02",$A:$I,9,0)&lt;&gt;"OK",CHAR(10)&amp;VLOOKUP("AMLA_VR_AML.06.01_C0040_02",$A:$I,9,0),""),2,3000))</f>
        <v>OK</v>
      </c>
      <c r="K474" s="161" t="s">
        <v>1775</v>
      </c>
    </row>
    <row r="475" spans="1:11">
      <c r="A475" s="159" t="str">
        <f>"AMLA_VR_" &amp; B475 &amp; "_" &amp; C475 &amp; "_" &amp; TEXT(COUNTIFS($B$2:B475, B475, $C$2:C475, C475), "00")</f>
        <v>AMLA_VR_AML.06.01_C0050_01</v>
      </c>
      <c r="B475" s="157" t="s">
        <v>331</v>
      </c>
      <c r="C475" s="157" t="s">
        <v>85</v>
      </c>
      <c r="D475" s="157" t="s">
        <v>1553</v>
      </c>
      <c r="E475" s="160" t="str" cm="1">
        <f t="array" aca="1" ref="E475" ca="1">IF(C475="", INDIRECT("'"&amp;B475&amp;"'!B3"), INDEX(INDIRECT("'"&amp;B475&amp;"'!5:5"), COLUMN(INDIRECT("'"&amp;B475&amp;"'!"&amp;D475))))</f>
        <v>White Labelling Partners by country</v>
      </c>
      <c r="F475" s="157" t="s">
        <v>1772</v>
      </c>
      <c r="G475" s="157" t="s">
        <v>1773</v>
      </c>
      <c r="H475" s="157" t="s">
        <v>1822</v>
      </c>
      <c r="I475" s="160" t="str" cm="1">
        <f t="array" ref="I475">IF(
  SUMPRODUCT(
    (TRIM(SUBSTITUTE('AML.06.01'!$F$11:$F$283&amp;"",CHAR(160),""))&lt;&gt;"") *
    (IFERROR(VALUE(TRIM(SUBSTITUTE('AML.06.01'!$F$11:$F$283&amp;"",CHAR(160),""))),0)&lt;0)
  )=0,
  "OK",
  "there are (" &amp;
  SUMPRODUCT(
    (TRIM(SUBSTITUTE('AML.06.01'!$F$11:$F$283&amp;"",CHAR(160),""))&lt;&gt;"") *
    (IFERROR(VALUE(TRIM(SUBSTITUTE('AML.06.01'!$F$11:$F$283&amp;"",CHAR(160),""))),0)&lt;0)
  ) &amp;
  ") rows with " &amp; $G475 &amp; "(s) as " &amp; $H475
)</f>
        <v>OK</v>
      </c>
      <c r="J475" s="171" t="str">
        <f>IF(LEN(IF(VLOOKUP("AMLA_VR_AML.06.01_C0050_01",$A:$I,9,0)&lt;&gt;"OK",CHAR(10)&amp;VLOOKUP("AMLA_VR_AML.06.01_C0050_01",$A:$I,9,0),"")&amp;IF(VLOOKUP("AMLA_VR_AML.06.01_C0050_02",$A:$I,9,0)&lt;&gt;"OK",CHAR(10)&amp;VLOOKUP("AMLA_VR_AML.06.01_C0050_02",$A:$I,9,0),""))=0,"OK",MID(IF(VLOOKUP("AMLA_VR_AML.06.01_C0050_01",$A:$I,9,0)&lt;&gt;"OK",CHAR(10)&amp;VLOOKUP("AMLA_VR_AML.06.01_C0050_01",$A:$I,9,0),"")&amp;IF(VLOOKUP("AMLA_VR_AML.06.01_C0050_02",$A:$I,9,0)&lt;&gt;"OK",CHAR(10)&amp;VLOOKUP("AMLA_VR_AML.06.01_C0050_02",$A:$I,9,0),""),2,3000))</f>
        <v>OK</v>
      </c>
      <c r="K475" s="158" t="s">
        <v>1775</v>
      </c>
    </row>
    <row r="476" spans="1:11">
      <c r="A476" s="159" t="str">
        <f>"AMLA_VR_" &amp; B476 &amp; "_" &amp; C476 &amp; "_" &amp; TEXT(COUNTIFS($B$2:B476, B476, $C$2:C476, C476), "00")</f>
        <v>AMLA_VR_AML.06.01_C0050_02</v>
      </c>
      <c r="B476" s="157" t="s">
        <v>331</v>
      </c>
      <c r="C476" s="157" t="s">
        <v>85</v>
      </c>
      <c r="D476" s="157" t="s">
        <v>1902</v>
      </c>
      <c r="E476" s="160" t="str" cm="1">
        <f t="array" aca="1" ref="E476" ca="1">IF(C476="", INDIRECT("'"&amp;B476&amp;"'!B3"), INDEX(INDIRECT("'"&amp;B476&amp;"'!5:5"), COLUMN(INDIRECT("'"&amp;B476&amp;"'!"&amp;D476))))</f>
        <v>White Labelling Partners by country</v>
      </c>
      <c r="F476" s="157" t="s">
        <v>1776</v>
      </c>
      <c r="G476" s="157" t="s">
        <v>1773</v>
      </c>
      <c r="H476" s="157" t="s">
        <v>1816</v>
      </c>
      <c r="I476" s="160" t="str" cm="1">
        <f t="array" ref="I476">IF(
  SUMPRODUCT(
    (TRIM(SUBSTITUTE('AML.06.01'!$F$11:$F$200&amp;"",CHAR(160),""))&lt;&gt;"") *
    (
      ISERROR('AML.06.01'!$F$11:$F$200+0) +
      (IFERROR(INT('AML.06.01'!$F$11:$F$200+0),0)&lt;&gt;('AML.06.01'!$F$11:$F$200+0))
    &gt;0
    )
  )=0,
  "OK",
  $G476&amp;": "&amp;$H476&amp;" ("&amp;
  SUMPRODUCT(
    (TRIM(SUBSTITUTE('AML.06.01'!$F$11:$F$200&amp;"",CHAR(160),""))&lt;&gt;"") *
    (
      ISERROR('AML.06.01'!$F$11:$F$200+0) +
      (IFERROR(INT('AML.06.01'!$F$11:$F$200+0),0)&lt;&gt;('AML.06.01'!$F$11:$F$200+0))
    &gt;0
    )
  )&amp;" rows)"
)</f>
        <v>OK</v>
      </c>
      <c r="J476" s="171" t="str">
        <f>IF(LEN(IF(VLOOKUP("AMLA_VR_AML.06.01_C0050_01",$A:$I,9,0)&lt;&gt;"OK",CHAR(10)&amp;VLOOKUP("AMLA_VR_AML.06.01_C0050_01",$A:$I,9,0),"")&amp;IF(VLOOKUP("AMLA_VR_AML.06.01_C0050_02",$A:$I,9,0)&lt;&gt;"OK",CHAR(10)&amp;VLOOKUP("AMLA_VR_AML.06.01_C0050_02",$A:$I,9,0),""))=0,"OK",MID(IF(VLOOKUP("AMLA_VR_AML.06.01_C0050_01",$A:$I,9,0)&lt;&gt;"OK",CHAR(10)&amp;VLOOKUP("AMLA_VR_AML.06.01_C0050_01",$A:$I,9,0),"")&amp;IF(VLOOKUP("AMLA_VR_AML.06.01_C0050_02",$A:$I,9,0)&lt;&gt;"OK",CHAR(10)&amp;VLOOKUP("AMLA_VR_AML.06.01_C0050_02",$A:$I,9,0),""),2,3000))</f>
        <v>OK</v>
      </c>
      <c r="K476" s="158" t="s">
        <v>1775</v>
      </c>
    </row>
    <row r="477" spans="1:11">
      <c r="A477" s="159" t="str">
        <f>"AMLA_VR_" &amp; B477 &amp; "_" &amp; C477 &amp; "_" &amp; TEXT(COUNTIFS($B$2:B477, B477, $C$2:C477, C477), "00")</f>
        <v>AMLA_VR_AML.07.01_C0010_01</v>
      </c>
      <c r="B477" s="157" t="s">
        <v>337</v>
      </c>
      <c r="C477" s="157" t="s">
        <v>81</v>
      </c>
      <c r="D477" s="157" t="s">
        <v>1549</v>
      </c>
      <c r="E477" s="160" t="str" cm="1">
        <f t="array" aca="1" ref="E477" ca="1">IF(C477="", INDIRECT("'"&amp;B477&amp;"'!B3"), INDEX(INDIRECT("'"&amp;B477&amp;"'!5:5"), COLUMN(INDIRECT("'"&amp;B477&amp;"'!"&amp;D477))))</f>
        <v>Last AML/CFT Compliance Check</v>
      </c>
      <c r="F477" s="157" t="s">
        <v>1772</v>
      </c>
      <c r="G477" s="157" t="s">
        <v>1773</v>
      </c>
      <c r="H477" s="157" t="s">
        <v>1918</v>
      </c>
      <c r="I477" s="157" t="str">
        <f>IF('AML.07.01'!$B$11&gt;DATE(2025,12,31), $G477 &amp; ": " &amp; $H477, "OK")</f>
        <v>OK</v>
      </c>
      <c r="J477" s="173" t="str">
        <f>IF(LEN(IF(VLOOKUP("AMLA_VR_AML.07.01_C0010_01",$A:$I,9,0)&lt;&gt;"OK",CHAR(10)&amp;VLOOKUP("AMLA_VR_AML.07.01_C0010_01",$A:$I,9,0),"")&amp;IF(VLOOKUP("AMLA_VR_AML.07.01_C0010_02",$A:$I,9,0)&lt;&gt;"OK",CHAR(10)&amp;VLOOKUP("AMLA_VR_AML.07.01_C0010_02",$A:$I,9,0),""))=0,"OK",MID(IF(VLOOKUP("AMLA_VR_AML.07.01_C0010_01",$A:$I,9,0)&lt;&gt;"OK",CHAR(10)&amp;VLOOKUP("AMLA_VR_AML.07.01_C0010_01",$A:$I,9,0),"")&amp;IF(VLOOKUP("AMLA_VR_AML.07.01_C0010_02",$A:$I,9,0)&lt;&gt;"OK",CHAR(10)&amp;VLOOKUP("AMLA_VR_AML.07.01_C0010_02",$A:$I,9,0),""),2,3000))</f>
        <v>OK</v>
      </c>
      <c r="K477" s="158" t="s">
        <v>1775</v>
      </c>
    </row>
    <row r="478" spans="1:11">
      <c r="A478" s="159" t="str">
        <f>"AMLA_VR_" &amp; B478 &amp; "_" &amp; C478 &amp; "_" &amp; TEXT(COUNTIFS($B$2:B478, B478, $C$2:C478, C478), "00")</f>
        <v>AMLA_VR_AML.07.01_C0010_02</v>
      </c>
      <c r="B478" s="157" t="s">
        <v>337</v>
      </c>
      <c r="C478" s="157" t="s">
        <v>81</v>
      </c>
      <c r="D478" s="157" t="s">
        <v>1549</v>
      </c>
      <c r="E478" s="160" t="str" cm="1">
        <f t="array" aca="1" ref="E478" ca="1">IF(C478="", INDIRECT("'"&amp;B478&amp;"'!B3"), INDEX(INDIRECT("'"&amp;B478&amp;"'!5:5"), COLUMN(INDIRECT("'"&amp;B478&amp;"'!"&amp;D478))))</f>
        <v>Last AML/CFT Compliance Check</v>
      </c>
      <c r="F478" s="157" t="s">
        <v>1776</v>
      </c>
      <c r="G478" s="157" t="s">
        <v>1773</v>
      </c>
      <c r="H478" s="157" t="s">
        <v>1919</v>
      </c>
      <c r="I478" s="157" t="str">
        <f>IF(TRIM('AML.07.01'!$B$11&amp;"")="", "OK", IF(ISNUMBER('AML.07.01'!$B$11+0), "OK", $G478&amp;": "&amp;$H478))</f>
        <v>OK</v>
      </c>
      <c r="J478" s="173" t="str">
        <f>IF(LEN(IF(VLOOKUP("AMLA_VR_AML.07.01_C0010_01",$A:$I,9,0)&lt;&gt;"OK",CHAR(10)&amp;VLOOKUP("AMLA_VR_AML.07.01_C0010_01",$A:$I,9,0),"")&amp;IF(VLOOKUP("AMLA_VR_AML.07.01_C0010_02",$A:$I,9,0)&lt;&gt;"OK",CHAR(10)&amp;VLOOKUP("AMLA_VR_AML.07.01_C0010_02",$A:$I,9,0),""))=0,"OK",MID(IF(VLOOKUP("AMLA_VR_AML.07.01_C0010_01",$A:$I,9,0)&lt;&gt;"OK",CHAR(10)&amp;VLOOKUP("AMLA_VR_AML.07.01_C0010_01",$A:$I,9,0),"")&amp;IF(VLOOKUP("AMLA_VR_AML.07.01_C0010_02",$A:$I,9,0)&lt;&gt;"OK",CHAR(10)&amp;VLOOKUP("AMLA_VR_AML.07.01_C0010_02",$A:$I,9,0),""),2,3000))</f>
        <v>OK</v>
      </c>
      <c r="K478" s="158" t="s">
        <v>1775</v>
      </c>
    </row>
    <row r="479" spans="1:11">
      <c r="A479" s="159" t="str">
        <f>"AMLA_VR_" &amp; B479 &amp; "_" &amp; C479 &amp; "_" &amp; TEXT(COUNTIFS($B$2:B479, B479, $C$2:C479, C479), "00")</f>
        <v>AMLA_VR_AML.07.01_C0020_01</v>
      </c>
      <c r="B479" s="160" t="s">
        <v>337</v>
      </c>
      <c r="C479" s="160" t="s">
        <v>82</v>
      </c>
      <c r="D479" s="160" t="s">
        <v>1550</v>
      </c>
      <c r="E479" s="160" t="str" cm="1">
        <f t="array" aca="1" ref="E479" ca="1">IF(C479="", INDIRECT("'"&amp;B479&amp;"'!B3"), INDEX(INDIRECT("'"&amp;B479&amp;"'!5:5"), COLUMN(INDIRECT("'"&amp;B479&amp;"'!"&amp;D479))))</f>
        <v>Dedicated AML/CFT Staff (FTE)</v>
      </c>
      <c r="F479" s="160" t="s">
        <v>1772</v>
      </c>
      <c r="G479" s="160" t="s">
        <v>1773</v>
      </c>
      <c r="H479" s="160" t="s">
        <v>1819</v>
      </c>
      <c r="I479" s="160" t="str">
        <f>IF('AML.07.01'!$C$11&lt;0, $G479 &amp; ": " &amp; $H479, "OK")</f>
        <v>OK</v>
      </c>
      <c r="J479" s="57" t="str">
        <f>IF(LEN(IF(VLOOKUP("AMLA_VR_AML.07.01_C0020_01",$A:$I,9,0)&lt;&gt;"OK",CHAR(10)&amp;VLOOKUP("AMLA_VR_AML.07.01_C0020_01",$A:$I,9,0),"")&amp;IF(VLOOKUP("AMLA_VR_AML.07.01_C0020_02",$A:$I,9,0)&lt;&gt;"OK",CHAR(10)&amp;VLOOKUP("AMLA_VR_AML.07.01_C0020_02",$A:$I,9,0),""))=0,"OK",MID(IF(VLOOKUP("AMLA_VR_AML.07.01_C0020_01",$A:$I,9,0)&lt;&gt;"OK",CHAR(10)&amp;VLOOKUP("AMLA_VR_AML.07.01_C0020_01",$A:$I,9,0),"")&amp;IF(VLOOKUP("AMLA_VR_AML.07.01_C0020_02",$A:$I,9,0)&lt;&gt;"OK",CHAR(10)&amp;VLOOKUP("AMLA_VR_AML.07.01_C0020_02",$A:$I,9,0),""),2,3000))</f>
        <v>OK</v>
      </c>
      <c r="K479" s="161" t="s">
        <v>1775</v>
      </c>
    </row>
    <row r="480" spans="1:11">
      <c r="A480" s="159" t="str">
        <f>"AMLA_VR_" &amp; B480 &amp; "_" &amp; C480 &amp; "_" &amp; TEXT(COUNTIFS($B$2:B480, B480, $C$2:C480, C480), "00")</f>
        <v>AMLA_VR_AML.07.01_C0020_02</v>
      </c>
      <c r="B480" s="160" t="s">
        <v>337</v>
      </c>
      <c r="C480" s="160" t="s">
        <v>82</v>
      </c>
      <c r="D480" s="160" t="s">
        <v>1550</v>
      </c>
      <c r="E480" s="160" t="str" cm="1">
        <f t="array" aca="1" ref="E480" ca="1">IF(C480="", INDIRECT("'"&amp;B480&amp;"'!B3"), INDEX(INDIRECT("'"&amp;B480&amp;"'!5:5"), COLUMN(INDIRECT("'"&amp;B480&amp;"'!"&amp;D480))))</f>
        <v>Dedicated AML/CFT Staff (FTE)</v>
      </c>
      <c r="F480" s="160" t="s">
        <v>1776</v>
      </c>
      <c r="G480" s="160" t="s">
        <v>1773</v>
      </c>
      <c r="H480" s="160" t="s">
        <v>1837</v>
      </c>
      <c r="I480" s="160" t="str">
        <f>IF(TRIM(SUBSTITUTE('AML.07.01'!$C$11&amp;"",CHAR(160),""))="","OK",IF(NOT(ISNUMBER('AML.07.01'!$C$11)),$G480&amp;": "&amp;$H480,"OK"))</f>
        <v>OK</v>
      </c>
      <c r="J480" s="57" t="str">
        <f>IF(LEN(IF(VLOOKUP("AMLA_VR_AML.07.01_C0020_01",$A:$I,9,0)&lt;&gt;"OK",CHAR(10)&amp;VLOOKUP("AMLA_VR_AML.07.01_C0020_01",$A:$I,9,0),"")&amp;IF(VLOOKUP("AMLA_VR_AML.07.01_C0020_02",$A:$I,9,0)&lt;&gt;"OK",CHAR(10)&amp;VLOOKUP("AMLA_VR_AML.07.01_C0020_02",$A:$I,9,0),""))=0,"OK",MID(IF(VLOOKUP("AMLA_VR_AML.07.01_C0020_01",$A:$I,9,0)&lt;&gt;"OK",CHAR(10)&amp;VLOOKUP("AMLA_VR_AML.07.01_C0020_01",$A:$I,9,0),"")&amp;IF(VLOOKUP("AMLA_VR_AML.07.01_C0020_02",$A:$I,9,0)&lt;&gt;"OK",CHAR(10)&amp;VLOOKUP("AMLA_VR_AML.07.01_C0020_02",$A:$I,9,0),""),2,3000))</f>
        <v>OK</v>
      </c>
      <c r="K480" s="161" t="s">
        <v>1775</v>
      </c>
    </row>
    <row r="481" spans="1:11">
      <c r="A481" s="159" t="str">
        <f>"AMLA_VR_" &amp; B481 &amp; "_" &amp; C481 &amp; "_" &amp; TEXT(COUNTIFS($B$2:B481, B481, $C$2:C481, C481), "00")</f>
        <v>AMLA_VR_AML.07.01_C0030_01</v>
      </c>
      <c r="B481" s="157" t="s">
        <v>337</v>
      </c>
      <c r="C481" s="157" t="s">
        <v>83</v>
      </c>
      <c r="D481" s="157" t="s">
        <v>1551</v>
      </c>
      <c r="E481" s="160" t="str" cm="1">
        <f t="array" aca="1" ref="E481" ca="1">IF(C481="", INDIRECT("'"&amp;B481&amp;"'!B3"), INDEX(INDIRECT("'"&amp;B481&amp;"'!5:5"), COLUMN(INDIRECT("'"&amp;B481&amp;"'!"&amp;D481))))</f>
        <v>AML Training - Compliance Staff (%)</v>
      </c>
      <c r="F481" s="157" t="s">
        <v>1772</v>
      </c>
      <c r="G481" s="157" t="s">
        <v>1773</v>
      </c>
      <c r="H481" s="157" t="s">
        <v>1820</v>
      </c>
      <c r="I481" s="157" t="str">
        <f>IF('AML.07.01'!$D$11&lt;0, $G481 &amp; ": " &amp; $H481, "OK")</f>
        <v>OK</v>
      </c>
      <c r="J481" s="171" t="str">
        <f>IF(LEN(IF(VLOOKUP("AMLA_VR_AML.07.01_C0030_01",$A:$I,9,0)&lt;&gt;"OK",CHAR(10)&amp;VLOOKUP("AMLA_VR_AML.07.01_C0030_01",$A:$I,9,0),"")&amp;IF(VLOOKUP("AMLA_VR_AML.07.01_C0030_02",$A:$I,9,0)&lt;&gt;"OK",CHAR(10)&amp;VLOOKUP("AMLA_VR_AML.07.01_C0030_02",$A:$I,9,0),"")&amp;IF(VLOOKUP("AMLA_VR_AML.07.01_C0030_03",$A:$I,9,0)&lt;&gt;"OK",CHAR(10)&amp;VLOOKUP("AMLA_VR_AML.07.01_C0030_03",$A:$I,9,0),""))=0,"OK",MID(IF(VLOOKUP("AMLA_VR_AML.07.01_C0030_01",$A:$I,9,0)&lt;&gt;"OK",CHAR(10)&amp;VLOOKUP("AMLA_VR_AML.07.01_C0030_01",$A:$I,9,0),"")&amp;IF(VLOOKUP("AMLA_VR_AML.07.01_C0030_02",$A:$I,9,0)&lt;&gt;"OK",CHAR(10)&amp;VLOOKUP("AMLA_VR_AML.07.01_C0030_02",$A:$I,9,0),"")&amp;IF(VLOOKUP("AMLA_VR_AML.07.01_C0030_03",$A:$I,9,0)&lt;&gt;"OK",CHAR(10)&amp;VLOOKUP("AMLA_VR_AML.07.01_C0030_03",$A:$I,9,0),""),2,3000))</f>
        <v>OK</v>
      </c>
      <c r="K481" s="158" t="s">
        <v>1775</v>
      </c>
    </row>
    <row r="482" spans="1:11">
      <c r="A482" s="159" t="str">
        <f>"AMLA_VR_" &amp; B482 &amp; "_" &amp; C482 &amp; "_" &amp; TEXT(COUNTIFS($B$2:B482, B482, $C$2:C482, C482), "00")</f>
        <v>AMLA_VR_AML.07.01_C0030_02</v>
      </c>
      <c r="B482" s="160" t="s">
        <v>337</v>
      </c>
      <c r="C482" s="160" t="s">
        <v>83</v>
      </c>
      <c r="D482" s="160" t="s">
        <v>1551</v>
      </c>
      <c r="E482" s="160" t="str" cm="1">
        <f t="array" aca="1" ref="E482" ca="1">IF(C482="", INDIRECT("'"&amp;B482&amp;"'!B3"), INDEX(INDIRECT("'"&amp;B482&amp;"'!5:5"), COLUMN(INDIRECT("'"&amp;B482&amp;"'!"&amp;D482))))</f>
        <v>AML Training - Compliance Staff (%)</v>
      </c>
      <c r="F482" s="160" t="s">
        <v>1772</v>
      </c>
      <c r="G482" s="160" t="s">
        <v>1773</v>
      </c>
      <c r="H482" s="160" t="s">
        <v>1850</v>
      </c>
      <c r="I482" s="160" t="str">
        <f>IF('AML.07.01'!$D$11&gt;1, $G482 &amp; ": " &amp; $H482, "OK")</f>
        <v>OK</v>
      </c>
      <c r="J482" s="57" t="str">
        <f>IF(LEN(IF(VLOOKUP("AMLA_VR_AML.07.01_C0030_01",$A:$I,9,0)&lt;&gt;"OK",CHAR(10)&amp;VLOOKUP("AMLA_VR_AML.07.01_C0030_01",$A:$I,9,0),"")&amp;IF(VLOOKUP("AMLA_VR_AML.07.01_C0030_02",$A:$I,9,0)&lt;&gt;"OK",CHAR(10)&amp;VLOOKUP("AMLA_VR_AML.07.01_C0030_02",$A:$I,9,0),"")&amp;IF(VLOOKUP("AMLA_VR_AML.07.01_C0030_03",$A:$I,9,0)&lt;&gt;"OK",CHAR(10)&amp;VLOOKUP("AMLA_VR_AML.07.01_C0030_03",$A:$I,9,0),""))=0,"OK",MID(IF(VLOOKUP("AMLA_VR_AML.07.01_C0030_01",$A:$I,9,0)&lt;&gt;"OK",CHAR(10)&amp;VLOOKUP("AMLA_VR_AML.07.01_C0030_01",$A:$I,9,0),"")&amp;IF(VLOOKUP("AMLA_VR_AML.07.01_C0030_02",$A:$I,9,0)&lt;&gt;"OK",CHAR(10)&amp;VLOOKUP("AMLA_VR_AML.07.01_C0030_02",$A:$I,9,0),"")&amp;IF(VLOOKUP("AMLA_VR_AML.07.01_C0030_03",$A:$I,9,0)&lt;&gt;"OK",CHAR(10)&amp;VLOOKUP("AMLA_VR_AML.07.01_C0030_03",$A:$I,9,0),""),2,3000))</f>
        <v>OK</v>
      </c>
      <c r="K482" s="161" t="s">
        <v>1775</v>
      </c>
    </row>
    <row r="483" spans="1:11">
      <c r="A483" s="159" t="str">
        <f>"AMLA_VR_" &amp; B483 &amp; "_" &amp; C483 &amp; "_" &amp; TEXT(COUNTIFS($B$2:B483, B483, $C$2:C483, C483), "00")</f>
        <v>AMLA_VR_AML.07.01_C0030_03</v>
      </c>
      <c r="B483" s="157" t="s">
        <v>337</v>
      </c>
      <c r="C483" s="157" t="s">
        <v>83</v>
      </c>
      <c r="D483" s="157" t="s">
        <v>1551</v>
      </c>
      <c r="E483" s="160" t="str" cm="1">
        <f t="array" aca="1" ref="E483" ca="1">IF(C483="", INDIRECT("'"&amp;B483&amp;"'!B3"), INDEX(INDIRECT("'"&amp;B483&amp;"'!5:5"), COLUMN(INDIRECT("'"&amp;B483&amp;"'!"&amp;D483))))</f>
        <v>AML Training - Compliance Staff (%)</v>
      </c>
      <c r="F483" s="157" t="s">
        <v>1776</v>
      </c>
      <c r="G483" s="157" t="s">
        <v>1773</v>
      </c>
      <c r="H483" s="157" t="s">
        <v>1851</v>
      </c>
      <c r="I483" s="157" t="str">
        <f>IF(TRIM(SUBSTITUTE('AML.07.01'!$D$11&amp;"",CHAR(160),""))="","OK",IF(OR(NOT(ISNUMBER('AML.07.01'!$D$11)),'AML.07.01'!$D$11&lt;0,'AML.07.01'!$D$11&gt;1),$G483&amp;": "&amp;$H483,"OK"))</f>
        <v>OK</v>
      </c>
      <c r="J483" s="171" t="str">
        <f>IF(LEN(IF(VLOOKUP("AMLA_VR_AML.07.01_C0030_01",$A:$I,9,0)&lt;&gt;"OK",CHAR(10)&amp;VLOOKUP("AMLA_VR_AML.07.01_C0030_01",$A:$I,9,0),"")&amp;IF(VLOOKUP("AMLA_VR_AML.07.01_C0030_02",$A:$I,9,0)&lt;&gt;"OK",CHAR(10)&amp;VLOOKUP("AMLA_VR_AML.07.01_C0030_02",$A:$I,9,0),"")&amp;IF(VLOOKUP("AMLA_VR_AML.07.01_C0030_03",$A:$I,9,0)&lt;&gt;"OK",CHAR(10)&amp;VLOOKUP("AMLA_VR_AML.07.01_C0030_03",$A:$I,9,0),""))=0,"OK",MID(IF(VLOOKUP("AMLA_VR_AML.07.01_C0030_01",$A:$I,9,0)&lt;&gt;"OK",CHAR(10)&amp;VLOOKUP("AMLA_VR_AML.07.01_C0030_01",$A:$I,9,0),"")&amp;IF(VLOOKUP("AMLA_VR_AML.07.01_C0030_02",$A:$I,9,0)&lt;&gt;"OK",CHAR(10)&amp;VLOOKUP("AMLA_VR_AML.07.01_C0030_02",$A:$I,9,0),"")&amp;IF(VLOOKUP("AMLA_VR_AML.07.01_C0030_03",$A:$I,9,0)&lt;&gt;"OK",CHAR(10)&amp;VLOOKUP("AMLA_VR_AML.07.01_C0030_03",$A:$I,9,0),""),2,3000))</f>
        <v>OK</v>
      </c>
      <c r="K483" s="158" t="s">
        <v>1775</v>
      </c>
    </row>
    <row r="484" spans="1:11">
      <c r="A484" s="159" t="str">
        <f>"AMLA_VR_" &amp; B484 &amp; "_" &amp; C484 &amp; "_" &amp; TEXT(COUNTIFS($B$2:B484, B484, $C$2:C484, C484), "00")</f>
        <v>AMLA_VR_AML.07.01_C0040_01</v>
      </c>
      <c r="B484" s="157" t="s">
        <v>337</v>
      </c>
      <c r="C484" s="157" t="s">
        <v>84</v>
      </c>
      <c r="D484" s="157" t="s">
        <v>1552</v>
      </c>
      <c r="E484" s="160" t="str" cm="1">
        <f t="array" aca="1" ref="E484" ca="1">IF(C484="", INDIRECT("'"&amp;B484&amp;"'!B3"), INDEX(INDIRECT("'"&amp;B484&amp;"'!5:5"), COLUMN(INDIRECT("'"&amp;B484&amp;"'!"&amp;D484))))</f>
        <v>AML Training - Non-AML/CFT Compliance Personnel</v>
      </c>
      <c r="F484" s="157" t="s">
        <v>1772</v>
      </c>
      <c r="G484" s="157" t="s">
        <v>1773</v>
      </c>
      <c r="H484" s="157" t="s">
        <v>1821</v>
      </c>
      <c r="I484" s="157" t="str">
        <f>IF('AML.07.01'!$E$11&lt;0, $G484 &amp; ": " &amp; $H484, "OK")</f>
        <v>OK</v>
      </c>
      <c r="J484" s="171" t="str">
        <f>IF(LEN(IF(VLOOKUP("AMLA_VR_AML.07.01_C0040_01",$A:$I,9,0)&lt;&gt;"OK",CHAR(10)&amp;VLOOKUP("AMLA_VR_AML.07.01_C0040_01",$A:$I,9,0),"")&amp;IF(VLOOKUP("AMLA_VR_AML.07.01_C0040_02",$A:$I,9,0)&lt;&gt;"OK",CHAR(10)&amp;VLOOKUP("AMLA_VR_AML.07.01_C0040_02",$A:$I,9,0),"")&amp;IF(VLOOKUP("AMLA_VR_AML.07.01_C0040_03",$A:$I,9,0)&lt;&gt;"OK",CHAR(10)&amp;VLOOKUP("AMLA_VR_AML.07.01_C0040_03",$A:$I,9,0),""))=0,"OK",MID(IF(VLOOKUP("AMLA_VR_AML.07.01_C0040_01",$A:$I,9,0)&lt;&gt;"OK",CHAR(10)&amp;VLOOKUP("AMLA_VR_AML.07.01_C0040_01",$A:$I,9,0),"")&amp;IF(VLOOKUP("AMLA_VR_AML.07.01_C0040_02",$A:$I,9,0)&lt;&gt;"OK",CHAR(10)&amp;VLOOKUP("AMLA_VR_AML.07.01_C0040_02",$A:$I,9,0),"")&amp;IF(VLOOKUP("AMLA_VR_AML.07.01_C0040_03",$A:$I,9,0)&lt;&gt;"OK",CHAR(10)&amp;VLOOKUP("AMLA_VR_AML.07.01_C0040_03",$A:$I,9,0),""),2,3000))</f>
        <v>OK</v>
      </c>
      <c r="K484" s="158" t="s">
        <v>1775</v>
      </c>
    </row>
    <row r="485" spans="1:11">
      <c r="A485" s="159" t="str">
        <f>"AMLA_VR_" &amp; B485 &amp; "_" &amp; C485 &amp; "_" &amp; TEXT(COUNTIFS($B$2:B485, B485, $C$2:C485, C485), "00")</f>
        <v>AMLA_VR_AML.07.01_C0040_02</v>
      </c>
      <c r="B485" s="160" t="s">
        <v>337</v>
      </c>
      <c r="C485" s="160" t="s">
        <v>84</v>
      </c>
      <c r="D485" s="160" t="s">
        <v>1552</v>
      </c>
      <c r="E485" s="160" t="str" cm="1">
        <f t="array" aca="1" ref="E485" ca="1">IF(C485="", INDIRECT("'"&amp;B485&amp;"'!B3"), INDEX(INDIRECT("'"&amp;B485&amp;"'!5:5"), COLUMN(INDIRECT("'"&amp;B485&amp;"'!"&amp;D485))))</f>
        <v>AML Training - Non-AML/CFT Compliance Personnel</v>
      </c>
      <c r="F485" s="160" t="s">
        <v>1772</v>
      </c>
      <c r="G485" s="160" t="s">
        <v>1773</v>
      </c>
      <c r="H485" s="160" t="s">
        <v>1920</v>
      </c>
      <c r="I485" s="160" t="str">
        <f>IF('AML.07.01'!$E$11&gt;1, $G485 &amp; ": " &amp; $H485, "OK")</f>
        <v>OK</v>
      </c>
      <c r="J485" s="57" t="str">
        <f>IF(LEN(IF(VLOOKUP("AMLA_VR_AML.07.01_C0040_01",$A:$I,9,0)&lt;&gt;"OK",CHAR(10)&amp;VLOOKUP("AMLA_VR_AML.07.01_C0040_01",$A:$I,9,0),"")&amp;IF(VLOOKUP("AMLA_VR_AML.07.01_C0040_02",$A:$I,9,0)&lt;&gt;"OK",CHAR(10)&amp;VLOOKUP("AMLA_VR_AML.07.01_C0040_02",$A:$I,9,0),"")&amp;IF(VLOOKUP("AMLA_VR_AML.07.01_C0040_03",$A:$I,9,0)&lt;&gt;"OK",CHAR(10)&amp;VLOOKUP("AMLA_VR_AML.07.01_C0040_03",$A:$I,9,0),""))=0,"OK",MID(IF(VLOOKUP("AMLA_VR_AML.07.01_C0040_01",$A:$I,9,0)&lt;&gt;"OK",CHAR(10)&amp;VLOOKUP("AMLA_VR_AML.07.01_C0040_01",$A:$I,9,0),"")&amp;IF(VLOOKUP("AMLA_VR_AML.07.01_C0040_02",$A:$I,9,0)&lt;&gt;"OK",CHAR(10)&amp;VLOOKUP("AMLA_VR_AML.07.01_C0040_02",$A:$I,9,0),"")&amp;IF(VLOOKUP("AMLA_VR_AML.07.01_C0040_03",$A:$I,9,0)&lt;&gt;"OK",CHAR(10)&amp;VLOOKUP("AMLA_VR_AML.07.01_C0040_03",$A:$I,9,0),""),2,3000))</f>
        <v>OK</v>
      </c>
      <c r="K485" s="161" t="s">
        <v>1775</v>
      </c>
    </row>
    <row r="486" spans="1:11">
      <c r="A486" s="159" t="str">
        <f>"AMLA_VR_" &amp; B486 &amp; "_" &amp; C486 &amp; "_" &amp; TEXT(COUNTIFS($B$2:B486, B486, $C$2:C486, C486), "00")</f>
        <v>AMLA_VR_AML.07.01_C0040_03</v>
      </c>
      <c r="B486" s="160" t="s">
        <v>337</v>
      </c>
      <c r="C486" s="160" t="s">
        <v>84</v>
      </c>
      <c r="D486" s="160" t="s">
        <v>1552</v>
      </c>
      <c r="E486" s="160" t="str" cm="1">
        <f t="array" aca="1" ref="E486" ca="1">IF(C486="", INDIRECT("'"&amp;B486&amp;"'!B3"), INDEX(INDIRECT("'"&amp;B486&amp;"'!5:5"), COLUMN(INDIRECT("'"&amp;B486&amp;"'!"&amp;D486))))</f>
        <v>AML Training - Non-AML/CFT Compliance Personnel</v>
      </c>
      <c r="F486" s="160" t="s">
        <v>1776</v>
      </c>
      <c r="G486" s="160" t="s">
        <v>1773</v>
      </c>
      <c r="H486" s="160" t="s">
        <v>1851</v>
      </c>
      <c r="I486" s="160" t="str">
        <f>IF(TRIM(SUBSTITUTE('AML.07.01'!$E$11&amp;"",CHAR(160),""))="","OK",IF(OR(NOT(ISNUMBER('AML.07.01'!$E$11)),'AML.07.01'!$E$11&lt;0,'AML.07.01'!$E$11&gt;1),$G486&amp;": "&amp;$H486,"OK"))</f>
        <v>OK</v>
      </c>
      <c r="J486" s="57" t="str">
        <f>IF(LEN(IF(VLOOKUP("AMLA_VR_AML.07.01_C0040_01",$A:$I,9,0)&lt;&gt;"OK",CHAR(10)&amp;VLOOKUP("AMLA_VR_AML.07.01_C0040_01",$A:$I,9,0),"")&amp;IF(VLOOKUP("AMLA_VR_AML.07.01_C0040_02",$A:$I,9,0)&lt;&gt;"OK",CHAR(10)&amp;VLOOKUP("AMLA_VR_AML.07.01_C0040_02",$A:$I,9,0),"")&amp;IF(VLOOKUP("AMLA_VR_AML.07.01_C0040_03",$A:$I,9,0)&lt;&gt;"OK",CHAR(10)&amp;VLOOKUP("AMLA_VR_AML.07.01_C0040_03",$A:$I,9,0),""))=0,"OK",MID(IF(VLOOKUP("AMLA_VR_AML.07.01_C0040_01",$A:$I,9,0)&lt;&gt;"OK",CHAR(10)&amp;VLOOKUP("AMLA_VR_AML.07.01_C0040_01",$A:$I,9,0),"")&amp;IF(VLOOKUP("AMLA_VR_AML.07.01_C0040_02",$A:$I,9,0)&lt;&gt;"OK",CHAR(10)&amp;VLOOKUP("AMLA_VR_AML.07.01_C0040_02",$A:$I,9,0),"")&amp;IF(VLOOKUP("AMLA_VR_AML.07.01_C0040_03",$A:$I,9,0)&lt;&gt;"OK",CHAR(10)&amp;VLOOKUP("AMLA_VR_AML.07.01_C0040_03",$A:$I,9,0),""),2,3000))</f>
        <v>OK</v>
      </c>
      <c r="K486" s="161" t="s">
        <v>1775</v>
      </c>
    </row>
    <row r="487" spans="1:11">
      <c r="A487" s="159" t="str">
        <f>"AMLA_VR_" &amp; B487 &amp; "_" &amp; C487 &amp; "_" &amp; TEXT(COUNTIFS($B$2:B487, B487, $C$2:C487, C487), "00")</f>
        <v>AMLA_VR_AML.07.01_C0050_01</v>
      </c>
      <c r="B487" s="157" t="s">
        <v>337</v>
      </c>
      <c r="C487" s="157" t="s">
        <v>85</v>
      </c>
      <c r="D487" s="157" t="s">
        <v>1553</v>
      </c>
      <c r="E487" s="160" t="str" cm="1">
        <f t="array" aca="1" ref="E487" ca="1">IF(C487="", INDIRECT("'"&amp;B487&amp;"'!B3"), INDEX(INDIRECT("'"&amp;B487&amp;"'!5:5"), COLUMN(INDIRECT("'"&amp;B487&amp;"'!"&amp;D487))))</f>
        <v>AML Training - Agents and Distributors (%)</v>
      </c>
      <c r="F487" s="157" t="s">
        <v>1772</v>
      </c>
      <c r="G487" s="157" t="s">
        <v>1773</v>
      </c>
      <c r="H487" s="157" t="s">
        <v>1822</v>
      </c>
      <c r="I487" s="157" t="str">
        <f>IF('AML.07.01'!$F$11&lt;0, $G487 &amp; ": " &amp; $H487, "OK")</f>
        <v>OK</v>
      </c>
      <c r="J487" s="171" t="str">
        <f>IF(LEN(IF(VLOOKUP("AMLA_VR_AML.07.01_C0050_01",$A:$I,9,0)&lt;&gt;"OK",CHAR(10)&amp;VLOOKUP("AMLA_VR_AML.07.01_C0050_01",$A:$I,9,0),"")&amp;IF(VLOOKUP("AMLA_VR_AML.07.01_C0050_02",$A:$I,9,0)&lt;&gt;"OK",CHAR(10)&amp;VLOOKUP("AMLA_VR_AML.07.01_C0050_02",$A:$I,9,0),"")&amp;IF(VLOOKUP("AMLA_VR_AML.07.01_C0050_03",$A:$I,9,0)&lt;&gt;"OK",CHAR(10)&amp;VLOOKUP("AMLA_VR_AML.07.01_C0050_03",$A:$I,9,0),""))=0,"OK",MID(IF(VLOOKUP("AMLA_VR_AML.07.01_C0050_01",$A:$I,9,0)&lt;&gt;"OK",CHAR(10)&amp;VLOOKUP("AMLA_VR_AML.07.01_C0050_01",$A:$I,9,0),"")&amp;IF(VLOOKUP("AMLA_VR_AML.07.01_C0050_02",$A:$I,9,0)&lt;&gt;"OK",CHAR(10)&amp;VLOOKUP("AMLA_VR_AML.07.01_C0050_02",$A:$I,9,0),"")&amp;IF(VLOOKUP("AMLA_VR_AML.07.01_C0050_03",$A:$I,9,0)&lt;&gt;"OK",CHAR(10)&amp;VLOOKUP("AMLA_VR_AML.07.01_C0050_03",$A:$I,9,0),""),2,3000))</f>
        <v>OK</v>
      </c>
      <c r="K487" s="158" t="s">
        <v>1775</v>
      </c>
    </row>
    <row r="488" spans="1:11">
      <c r="A488" s="159" t="str">
        <f>"AMLA_VR_" &amp; B488 &amp; "_" &amp; C488 &amp; "_" &amp; TEXT(COUNTIFS($B$2:B488, B488, $C$2:C488, C488), "00")</f>
        <v>AMLA_VR_AML.07.01_C0050_02</v>
      </c>
      <c r="B488" s="160" t="s">
        <v>337</v>
      </c>
      <c r="C488" s="160" t="s">
        <v>85</v>
      </c>
      <c r="D488" s="160" t="s">
        <v>1553</v>
      </c>
      <c r="E488" s="160" t="str" cm="1">
        <f t="array" aca="1" ref="E488" ca="1">IF(C488="", INDIRECT("'"&amp;B488&amp;"'!B3"), INDEX(INDIRECT("'"&amp;B488&amp;"'!5:5"), COLUMN(INDIRECT("'"&amp;B488&amp;"'!"&amp;D488))))</f>
        <v>AML Training - Agents and Distributors (%)</v>
      </c>
      <c r="F488" s="160" t="s">
        <v>1772</v>
      </c>
      <c r="G488" s="160" t="s">
        <v>1773</v>
      </c>
      <c r="H488" s="160" t="s">
        <v>1921</v>
      </c>
      <c r="I488" s="160" t="str">
        <f>IF('AML.07.01'!$F$11&gt;1, $G488 &amp; ": " &amp; $H488, "OK")</f>
        <v>OK</v>
      </c>
      <c r="J488" s="57" t="str">
        <f>IF(LEN(IF(VLOOKUP("AMLA_VR_AML.07.01_C0050_01",$A:$I,9,0)&lt;&gt;"OK",CHAR(10)&amp;VLOOKUP("AMLA_VR_AML.07.01_C0050_01",$A:$I,9,0),"")&amp;IF(VLOOKUP("AMLA_VR_AML.07.01_C0050_02",$A:$I,9,0)&lt;&gt;"OK",CHAR(10)&amp;VLOOKUP("AMLA_VR_AML.07.01_C0050_02",$A:$I,9,0),"")&amp;IF(VLOOKUP("AMLA_VR_AML.07.01_C0050_03",$A:$I,9,0)&lt;&gt;"OK",CHAR(10)&amp;VLOOKUP("AMLA_VR_AML.07.01_C0050_03",$A:$I,9,0),""))=0,"OK",MID(IF(VLOOKUP("AMLA_VR_AML.07.01_C0050_01",$A:$I,9,0)&lt;&gt;"OK",CHAR(10)&amp;VLOOKUP("AMLA_VR_AML.07.01_C0050_01",$A:$I,9,0),"")&amp;IF(VLOOKUP("AMLA_VR_AML.07.01_C0050_02",$A:$I,9,0)&lt;&gt;"OK",CHAR(10)&amp;VLOOKUP("AMLA_VR_AML.07.01_C0050_02",$A:$I,9,0),"")&amp;IF(VLOOKUP("AMLA_VR_AML.07.01_C0050_03",$A:$I,9,0)&lt;&gt;"OK",CHAR(10)&amp;VLOOKUP("AMLA_VR_AML.07.01_C0050_03",$A:$I,9,0),""),2,3000))</f>
        <v>OK</v>
      </c>
      <c r="K488" s="161" t="s">
        <v>1775</v>
      </c>
    </row>
    <row r="489" spans="1:11">
      <c r="A489" s="159" t="str">
        <f>"AMLA_VR_" &amp; B489 &amp; "_" &amp; C489 &amp; "_" &amp; TEXT(COUNTIFS($B$2:B489, B489, $C$2:C489, C489), "00")</f>
        <v>AMLA_VR_AML.07.01_C0050_03</v>
      </c>
      <c r="B489" s="157" t="s">
        <v>337</v>
      </c>
      <c r="C489" s="157" t="s">
        <v>85</v>
      </c>
      <c r="D489" s="157" t="s">
        <v>1553</v>
      </c>
      <c r="E489" s="160" t="str" cm="1">
        <f t="array" aca="1" ref="E489" ca="1">IF(C489="", INDIRECT("'"&amp;B489&amp;"'!B3"), INDEX(INDIRECT("'"&amp;B489&amp;"'!5:5"), COLUMN(INDIRECT("'"&amp;B489&amp;"'!"&amp;D489))))</f>
        <v>AML Training - Agents and Distributors (%)</v>
      </c>
      <c r="F489" s="157" t="s">
        <v>1776</v>
      </c>
      <c r="G489" s="157" t="s">
        <v>1773</v>
      </c>
      <c r="H489" s="157" t="s">
        <v>1851</v>
      </c>
      <c r="I489" s="157" t="str">
        <f>IF(TRIM(SUBSTITUTE('AML.07.01'!$F$11&amp;"",CHAR(160),""))="","OK",IF(OR(NOT(ISNUMBER('AML.07.01'!$F$11)),'AML.07.01'!$F$11&lt;0,'AML.07.01'!$F$11&gt;1),$G489&amp;": "&amp;$H489,"OK"))</f>
        <v>OK</v>
      </c>
      <c r="J489" s="171" t="str">
        <f>IF(LEN(IF(VLOOKUP("AMLA_VR_AML.07.01_C0050_01",$A:$I,9,0)&lt;&gt;"OK",CHAR(10)&amp;VLOOKUP("AMLA_VR_AML.07.01_C0050_01",$A:$I,9,0),"")&amp;IF(VLOOKUP("AMLA_VR_AML.07.01_C0050_02",$A:$I,9,0)&lt;&gt;"OK",CHAR(10)&amp;VLOOKUP("AMLA_VR_AML.07.01_C0050_02",$A:$I,9,0),"")&amp;IF(VLOOKUP("AMLA_VR_AML.07.01_C0050_03",$A:$I,9,0)&lt;&gt;"OK",CHAR(10)&amp;VLOOKUP("AMLA_VR_AML.07.01_C0050_03",$A:$I,9,0),""))=0,"OK",MID(IF(VLOOKUP("AMLA_VR_AML.07.01_C0050_01",$A:$I,9,0)&lt;&gt;"OK",CHAR(10)&amp;VLOOKUP("AMLA_VR_AML.07.01_C0050_01",$A:$I,9,0),"")&amp;IF(VLOOKUP("AMLA_VR_AML.07.01_C0050_02",$A:$I,9,0)&lt;&gt;"OK",CHAR(10)&amp;VLOOKUP("AMLA_VR_AML.07.01_C0050_02",$A:$I,9,0),"")&amp;IF(VLOOKUP("AMLA_VR_AML.07.01_C0050_03",$A:$I,9,0)&lt;&gt;"OK",CHAR(10)&amp;VLOOKUP("AMLA_VR_AML.07.01_C0050_03",$A:$I,9,0),""),2,3000))</f>
        <v>OK</v>
      </c>
      <c r="K489" s="158" t="s">
        <v>1775</v>
      </c>
    </row>
    <row r="490" spans="1:11">
      <c r="A490" s="159" t="str">
        <f>"AMLA_VR_" &amp; B490 &amp; "_" &amp; C490 &amp; "_" &amp; TEXT(COUNTIFS($B$2:B490, B490, $C$2:C490, C490), "00")</f>
        <v>AMLA_VR_AML.07.01_C0060_01</v>
      </c>
      <c r="B490" s="157" t="s">
        <v>337</v>
      </c>
      <c r="C490" s="157" t="s">
        <v>86</v>
      </c>
      <c r="D490" s="157" t="s">
        <v>1554</v>
      </c>
      <c r="E490" s="160" t="str" cm="1">
        <f t="array" aca="1" ref="E490" ca="1">IF(C490="", INDIRECT("'"&amp;B490&amp;"'!B3"), INDEX(INDIRECT("'"&amp;B490&amp;"'!5:5"), COLUMN(INDIRECT("'"&amp;B490&amp;"'!"&amp;D490))))</f>
        <v>AML Training - Members of the management body (%)</v>
      </c>
      <c r="F490" s="157" t="s">
        <v>1772</v>
      </c>
      <c r="G490" s="157" t="s">
        <v>1773</v>
      </c>
      <c r="H490" s="157" t="s">
        <v>1823</v>
      </c>
      <c r="I490" s="157" t="str">
        <f>IF('AML.07.01'!$G$11&lt;0, $G490 &amp; ": " &amp; $H490, "OK")</f>
        <v>OK</v>
      </c>
      <c r="J490" s="171" t="str">
        <f>IF(LEN(IF(VLOOKUP("AMLA_VR_AML.07.01_C0060_01",$A:$I,9,0)&lt;&gt;"OK",CHAR(10)&amp;VLOOKUP("AMLA_VR_AML.07.01_C0060_01",$A:$I,9,0),"")&amp;IF(VLOOKUP("AMLA_VR_AML.07.01_C0060_02",$A:$I,9,0)&lt;&gt;"OK",CHAR(10)&amp;VLOOKUP("AMLA_VR_AML.07.01_C0060_02",$A:$I,9,0),"")&amp;IF(VLOOKUP("AMLA_VR_AML.07.01_C0060_03",$A:$I,9,0)&lt;&gt;"OK",CHAR(10)&amp;VLOOKUP("AMLA_VR_AML.07.01_C0060_03",$A:$I,9,0),""))=0,"OK",MID(IF(VLOOKUP("AMLA_VR_AML.07.01_C0060_01",$A:$I,9,0)&lt;&gt;"OK",CHAR(10)&amp;VLOOKUP("AMLA_VR_AML.07.01_C0060_01",$A:$I,9,0),"")&amp;IF(VLOOKUP("AMLA_VR_AML.07.01_C0060_02",$A:$I,9,0)&lt;&gt;"OK",CHAR(10)&amp;VLOOKUP("AMLA_VR_AML.07.01_C0060_02",$A:$I,9,0),"")&amp;IF(VLOOKUP("AMLA_VR_AML.07.01_C0060_03",$A:$I,9,0)&lt;&gt;"OK",CHAR(10)&amp;VLOOKUP("AMLA_VR_AML.07.01_C0060_03",$A:$I,9,0),""),2,3000))</f>
        <v>OK</v>
      </c>
      <c r="K490" s="158" t="s">
        <v>1775</v>
      </c>
    </row>
    <row r="491" spans="1:11">
      <c r="A491" s="159" t="str">
        <f>"AMLA_VR_" &amp; B491 &amp; "_" &amp; C491 &amp; "_" &amp; TEXT(COUNTIFS($B$2:B491, B491, $C$2:C491, C491), "00")</f>
        <v>AMLA_VR_AML.07.01_C0060_02</v>
      </c>
      <c r="B491" s="160" t="s">
        <v>337</v>
      </c>
      <c r="C491" s="160" t="s">
        <v>86</v>
      </c>
      <c r="D491" s="160" t="s">
        <v>1554</v>
      </c>
      <c r="E491" s="160" t="str" cm="1">
        <f t="array" aca="1" ref="E491" ca="1">IF(C491="", INDIRECT("'"&amp;B491&amp;"'!B3"), INDEX(INDIRECT("'"&amp;B491&amp;"'!5:5"), COLUMN(INDIRECT("'"&amp;B491&amp;"'!"&amp;D491))))</f>
        <v>AML Training - Members of the management body (%)</v>
      </c>
      <c r="F491" s="160" t="s">
        <v>1772</v>
      </c>
      <c r="G491" s="160" t="s">
        <v>1773</v>
      </c>
      <c r="H491" s="160" t="s">
        <v>1856</v>
      </c>
      <c r="I491" s="160" t="str">
        <f>IF('AML.07.01'!$G$11&gt;1, $G491 &amp; ": " &amp; $H491, "OK")</f>
        <v>OK</v>
      </c>
      <c r="J491" s="57" t="str">
        <f>IF(LEN(IF(VLOOKUP("AMLA_VR_AML.07.01_C0060_01",$A:$I,9,0)&lt;&gt;"OK",CHAR(10)&amp;VLOOKUP("AMLA_VR_AML.07.01_C0060_01",$A:$I,9,0),"")&amp;IF(VLOOKUP("AMLA_VR_AML.07.01_C0060_02",$A:$I,9,0)&lt;&gt;"OK",CHAR(10)&amp;VLOOKUP("AMLA_VR_AML.07.01_C0060_02",$A:$I,9,0),"")&amp;IF(VLOOKUP("AMLA_VR_AML.07.01_C0060_03",$A:$I,9,0)&lt;&gt;"OK",CHAR(10)&amp;VLOOKUP("AMLA_VR_AML.07.01_C0060_03",$A:$I,9,0),""))=0,"OK",MID(IF(VLOOKUP("AMLA_VR_AML.07.01_C0060_01",$A:$I,9,0)&lt;&gt;"OK",CHAR(10)&amp;VLOOKUP("AMLA_VR_AML.07.01_C0060_01",$A:$I,9,0),"")&amp;IF(VLOOKUP("AMLA_VR_AML.07.01_C0060_02",$A:$I,9,0)&lt;&gt;"OK",CHAR(10)&amp;VLOOKUP("AMLA_VR_AML.07.01_C0060_02",$A:$I,9,0),"")&amp;IF(VLOOKUP("AMLA_VR_AML.07.01_C0060_03",$A:$I,9,0)&lt;&gt;"OK",CHAR(10)&amp;VLOOKUP("AMLA_VR_AML.07.01_C0060_03",$A:$I,9,0),""),2,3000))</f>
        <v>OK</v>
      </c>
      <c r="K491" s="161" t="s">
        <v>1775</v>
      </c>
    </row>
    <row r="492" spans="1:11">
      <c r="A492" s="159" t="str">
        <f>"AMLA_VR_" &amp; B492 &amp; "_" &amp; C492 &amp; "_" &amp; TEXT(COUNTIFS($B$2:B492, B492, $C$2:C492, C492), "00")</f>
        <v>AMLA_VR_AML.07.01_C0060_03</v>
      </c>
      <c r="B492" s="160" t="s">
        <v>337</v>
      </c>
      <c r="C492" s="160" t="s">
        <v>86</v>
      </c>
      <c r="D492" s="160" t="s">
        <v>1554</v>
      </c>
      <c r="E492" s="160" t="str" cm="1">
        <f t="array" aca="1" ref="E492" ca="1">IF(C492="", INDIRECT("'"&amp;B492&amp;"'!B3"), INDEX(INDIRECT("'"&amp;B492&amp;"'!5:5"), COLUMN(INDIRECT("'"&amp;B492&amp;"'!"&amp;D492))))</f>
        <v>AML Training - Members of the management body (%)</v>
      </c>
      <c r="F492" s="160" t="s">
        <v>1776</v>
      </c>
      <c r="G492" s="160" t="s">
        <v>1773</v>
      </c>
      <c r="H492" s="160" t="s">
        <v>1851</v>
      </c>
      <c r="I492" s="160" t="str">
        <f>IF(TRIM(SUBSTITUTE('AML.07.01'!$G$11&amp;"",CHAR(160),""))="","OK",IF(OR(NOT(ISNUMBER('AML.07.01'!$G$11)),'AML.07.01'!$G$11&lt;0,'AML.07.01'!$G$11&gt;1),$G492&amp;": "&amp;$H492,"OK"))</f>
        <v>OK</v>
      </c>
      <c r="J492" s="57" t="str">
        <f>IF(LEN(IF(VLOOKUP("AMLA_VR_AML.07.01_C0060_01",$A:$I,9,0)&lt;&gt;"OK",CHAR(10)&amp;VLOOKUP("AMLA_VR_AML.07.01_C0060_01",$A:$I,9,0),"")&amp;IF(VLOOKUP("AMLA_VR_AML.07.01_C0060_02",$A:$I,9,0)&lt;&gt;"OK",CHAR(10)&amp;VLOOKUP("AMLA_VR_AML.07.01_C0060_02",$A:$I,9,0),"")&amp;IF(VLOOKUP("AMLA_VR_AML.07.01_C0060_03",$A:$I,9,0)&lt;&gt;"OK",CHAR(10)&amp;VLOOKUP("AMLA_VR_AML.07.01_C0060_03",$A:$I,9,0),""))=0,"OK",MID(IF(VLOOKUP("AMLA_VR_AML.07.01_C0060_01",$A:$I,9,0)&lt;&gt;"OK",CHAR(10)&amp;VLOOKUP("AMLA_VR_AML.07.01_C0060_01",$A:$I,9,0),"")&amp;IF(VLOOKUP("AMLA_VR_AML.07.01_C0060_02",$A:$I,9,0)&lt;&gt;"OK",CHAR(10)&amp;VLOOKUP("AMLA_VR_AML.07.01_C0060_02",$A:$I,9,0),"")&amp;IF(VLOOKUP("AMLA_VR_AML.07.01_C0060_03",$A:$I,9,0)&lt;&gt;"OK",CHAR(10)&amp;VLOOKUP("AMLA_VR_AML.07.01_C0060_03",$A:$I,9,0),""),2,3000))</f>
        <v>OK</v>
      </c>
      <c r="K492" s="161" t="s">
        <v>1775</v>
      </c>
    </row>
    <row r="493" spans="1:11">
      <c r="A493" s="159" t="str">
        <f>"AMLA_VR_" &amp; B493 &amp; "_" &amp; C493 &amp; "_" &amp; TEXT(COUNTIFS($B$2:B493, B493, $C$2:C493, C493), "00")</f>
        <v>AMLA_VR_AML.07.02_C0010_01</v>
      </c>
      <c r="B493" s="157" t="s">
        <v>349</v>
      </c>
      <c r="C493" s="157" t="s">
        <v>81</v>
      </c>
      <c r="D493" s="157" t="s">
        <v>1549</v>
      </c>
      <c r="E493" s="160" t="str" cm="1">
        <f t="array" aca="1" ref="E493" ca="1">IF(C493="", INDIRECT("'"&amp;B493&amp;"'!B3"), INDEX(INDIRECT("'"&amp;B493&amp;"'!5:5"), COLUMN(INDIRECT("'"&amp;B493&amp;"'!"&amp;D493))))</f>
        <v>Frequency of AML reporting to the management body</v>
      </c>
      <c r="F493" s="157" t="s">
        <v>1776</v>
      </c>
      <c r="G493" s="157" t="s">
        <v>1773</v>
      </c>
      <c r="H493" s="157" t="s">
        <v>1782</v>
      </c>
      <c r="I493" s="157" t="str">
        <f>IF(TRIM(SUBSTITUTE('AML.07.02'!$B$11&amp;"",CHAR(160),""))="","OK",IF(COUNTIF(LIST_AMLA_00009,'AML.07.02'!$B$11)=0,$G493&amp;": "&amp;$H493,"OK"))</f>
        <v>OK</v>
      </c>
      <c r="J493" s="171" t="str">
        <f>IF(LEN(IF(VLOOKUP("AMLA_VR_AML.07.02_C0010_01",$A:$I,9,0)&lt;&gt;"OK",CHAR(10)&amp;VLOOKUP("AMLA_VR_AML.07.02_C0010_01",$A:$I,9,0),""))=0,"OK",MID(IF(VLOOKUP("AMLA_VR_AML.07.02_C0010_01",$A:$I,9,0)&lt;&gt;"OK",CHAR(10)&amp;VLOOKUP("AMLA_VR_AML.07.02_C0010_01",$A:$I,9,0),""),2,3000))</f>
        <v>OK</v>
      </c>
      <c r="K493" s="158" t="s">
        <v>1775</v>
      </c>
    </row>
    <row r="494" spans="1:11">
      <c r="A494" s="159" t="str">
        <f>"AMLA_VR_" &amp; B494 &amp; "_" &amp; C494 &amp; "_" &amp; TEXT(COUNTIFS($B$2:B494, B494, $C$2:C494, C494), "00")</f>
        <v>AMLA_VR_AML.07.02_C0020_01</v>
      </c>
      <c r="B494" s="160" t="s">
        <v>349</v>
      </c>
      <c r="C494" s="160" t="s">
        <v>82</v>
      </c>
      <c r="D494" s="160" t="s">
        <v>1550</v>
      </c>
      <c r="E494" s="160" t="str" cm="1">
        <f t="array" aca="1" ref="E494" ca="1">IF(C494="", INDIRECT("'"&amp;B494&amp;"'!B3"), INDEX(INDIRECT("'"&amp;B494&amp;"'!5:5"), COLUMN(INDIRECT("'"&amp;B494&amp;"'!"&amp;D494))))</f>
        <v>Outsourcing - CDD</v>
      </c>
      <c r="F494" s="160" t="s">
        <v>1776</v>
      </c>
      <c r="G494" s="160" t="s">
        <v>1773</v>
      </c>
      <c r="H494" s="160" t="s">
        <v>1782</v>
      </c>
      <c r="I494" s="160" t="str">
        <f>IF(TRIM(SUBSTITUTE('AML.07.02'!$C$11&amp;"",CHAR(160),""))="","OK",IF(COUNTIF(LIST_AMLA_00010,'AML.07.02'!$C$11)=0,$G494&amp;": "&amp;$H494,"OK"))</f>
        <v>OK</v>
      </c>
      <c r="J494" s="57" t="str">
        <f>IF(LEN(IF(VLOOKUP("AMLA_VR_AML.07.02_C0020_01",$A:$I,9,0)&lt;&gt;"OK",CHAR(10)&amp;VLOOKUP("AMLA_VR_AML.07.02_C0020_01",$A:$I,9,0),""))=0,"OK",MID(IF(VLOOKUP("AMLA_VR_AML.07.02_C0020_01",$A:$I,9,0)&lt;&gt;"OK",CHAR(10)&amp;VLOOKUP("AMLA_VR_AML.07.02_C0020_01",$A:$I,9,0),""),2,3000))</f>
        <v>OK</v>
      </c>
      <c r="K494" s="161" t="s">
        <v>1775</v>
      </c>
    </row>
    <row r="495" spans="1:11">
      <c r="A495" s="159" t="str">
        <f>"AMLA_VR_" &amp; B495 &amp; "_" &amp; C495 &amp; "_" &amp; TEXT(COUNTIFS($B$2:B495, B495, $C$2:C495, C495), "00")</f>
        <v>AMLA_VR_AML.07.02_C0030_01</v>
      </c>
      <c r="B495" s="157" t="s">
        <v>349</v>
      </c>
      <c r="C495" s="157" t="s">
        <v>83</v>
      </c>
      <c r="D495" s="157" t="s">
        <v>1551</v>
      </c>
      <c r="E495" s="160" t="str" cm="1">
        <f t="array" aca="1" ref="E495" ca="1">IF(C495="", INDIRECT("'"&amp;B495&amp;"'!B3"), INDEX(INDIRECT("'"&amp;B495&amp;"'!5:5"), COLUMN(INDIRECT("'"&amp;B495&amp;"'!"&amp;D495))))</f>
        <v>Outsourcing - Training</v>
      </c>
      <c r="F495" s="157" t="s">
        <v>1776</v>
      </c>
      <c r="G495" s="157" t="s">
        <v>1773</v>
      </c>
      <c r="H495" s="157" t="s">
        <v>1782</v>
      </c>
      <c r="I495" s="157" t="str">
        <f>IF(TRIM(SUBSTITUTE('AML.07.02'!$D$11&amp;"",CHAR(160),""))="","OK",IF(COUNTIF(LIST_AMLA_00010,'AML.07.02'!$D$11)=0,$G495&amp;": "&amp;$H495,"OK"))</f>
        <v>OK</v>
      </c>
      <c r="J495" s="171" t="str">
        <f>IF(LEN(IF(VLOOKUP("AMLA_VR_AML.07.02_C0030_01",$A:$I,9,0)&lt;&gt;"OK",CHAR(10)&amp;VLOOKUP("AMLA_VR_AML.07.02_C0030_01",$A:$I,9,0),""))=0,"OK",MID(IF(VLOOKUP("AMLA_VR_AML.07.02_C0030_01",$A:$I,9,0)&lt;&gt;"OK",CHAR(10)&amp;VLOOKUP("AMLA_VR_AML.07.02_C0030_01",$A:$I,9,0),""),2,3000))</f>
        <v>OK</v>
      </c>
      <c r="K495" s="158" t="s">
        <v>1775</v>
      </c>
    </row>
    <row r="496" spans="1:11">
      <c r="A496" s="159" t="str">
        <f>"AMLA_VR_" &amp; B496 &amp; "_" &amp; C496 &amp; "_" &amp; TEXT(COUNTIFS($B$2:B496, B496, $C$2:C496, C496), "00")</f>
        <v>AMLA_VR_AML.07.02_C0040_01</v>
      </c>
      <c r="B496" s="160" t="s">
        <v>349</v>
      </c>
      <c r="C496" s="160" t="s">
        <v>84</v>
      </c>
      <c r="D496" s="160" t="s">
        <v>1552</v>
      </c>
      <c r="E496" s="160" t="str" cm="1">
        <f t="array" aca="1" ref="E496" ca="1">IF(C496="", INDIRECT("'"&amp;B496&amp;"'!B3"), INDEX(INDIRECT("'"&amp;B496&amp;"'!5:5"), COLUMN(INDIRECT("'"&amp;B496&amp;"'!"&amp;D496))))</f>
        <v>Outsourcing - Transaction Monitoring</v>
      </c>
      <c r="F496" s="160" t="s">
        <v>1776</v>
      </c>
      <c r="G496" s="160" t="s">
        <v>1773</v>
      </c>
      <c r="H496" s="160" t="s">
        <v>1782</v>
      </c>
      <c r="I496" s="160" t="str">
        <f>IF(TRIM(SUBSTITUTE('AML.07.02'!$E$11&amp;"",CHAR(160),""))="","OK",IF(COUNTIF(LIST_AMLA_00010,'AML.07.02'!$E$11)=0,$G496&amp;": "&amp;$H496,"OK"))</f>
        <v>OK</v>
      </c>
      <c r="J496" s="57" t="str">
        <f>IF(LEN(IF(VLOOKUP("AMLA_VR_AML.07.02_C0040_01",$A:$I,9,0)&lt;&gt;"OK",CHAR(10)&amp;VLOOKUP("AMLA_VR_AML.07.02_C0040_01",$A:$I,9,0),""))=0,"OK",MID(IF(VLOOKUP("AMLA_VR_AML.07.02_C0040_01",$A:$I,9,0)&lt;&gt;"OK",CHAR(10)&amp;VLOOKUP("AMLA_VR_AML.07.02_C0040_01",$A:$I,9,0),""),2,3000))</f>
        <v>OK</v>
      </c>
      <c r="K496" s="161" t="s">
        <v>1775</v>
      </c>
    </row>
    <row r="497" spans="1:11">
      <c r="A497" s="159" t="str">
        <f>"AMLA_VR_" &amp; B497 &amp; "_" &amp; C497 &amp; "_" &amp; TEXT(COUNTIFS($B$2:B497, B497, $C$2:C497, C497), "00")</f>
        <v>AMLA_VR_AML.07.02_C0050_01</v>
      </c>
      <c r="B497" s="157" t="s">
        <v>349</v>
      </c>
      <c r="C497" s="157" t="s">
        <v>85</v>
      </c>
      <c r="D497" s="157" t="s">
        <v>1553</v>
      </c>
      <c r="E497" s="160" t="str" cm="1">
        <f t="array" aca="1" ref="E497" ca="1">IF(C497="", INDIRECT("'"&amp;B497&amp;"'!B3"), INDEX(INDIRECT("'"&amp;B497&amp;"'!5:5"), COLUMN(INDIRECT("'"&amp;B497&amp;"'!"&amp;D497))))</f>
        <v>Outsourcing - Suspicious Transaction or Activity Reports</v>
      </c>
      <c r="F497" s="157" t="s">
        <v>1776</v>
      </c>
      <c r="G497" s="157" t="s">
        <v>1773</v>
      </c>
      <c r="H497" s="157" t="s">
        <v>1782</v>
      </c>
      <c r="I497" s="157" t="str">
        <f>IF(TRIM(SUBSTITUTE('AML.07.02'!$F$11&amp;"",CHAR(160),""))="","OK",IF(COUNTIF(LIST_AMLA_00010,'AML.07.02'!$F$11)=0,$G497&amp;": "&amp;$H497,"OK"))</f>
        <v>OK</v>
      </c>
      <c r="J497" s="171" t="str">
        <f>IF(LEN(IF(VLOOKUP("AMLA_VR_AML.07.02_C0050_01",$A:$I,9,0)&lt;&gt;"OK",CHAR(10)&amp;VLOOKUP("AMLA_VR_AML.07.02_C0050_01",$A:$I,9,0),""))=0,"OK",MID(IF(VLOOKUP("AMLA_VR_AML.07.02_C0050_01",$A:$I,9,0)&lt;&gt;"OK",CHAR(10)&amp;VLOOKUP("AMLA_VR_AML.07.02_C0050_01",$A:$I,9,0),""),2,3000))</f>
        <v>OK</v>
      </c>
      <c r="K497" s="158" t="s">
        <v>1775</v>
      </c>
    </row>
    <row r="498" spans="1:11">
      <c r="A498" s="159" t="str">
        <f>"AMLA_VR_" &amp; B498 &amp; "_" &amp; C498 &amp; "_" &amp; TEXT(COUNTIFS($B$2:B498, B498, $C$2:C498, C498), "00")</f>
        <v>AMLA_VR_AML.07.02_C0060_01</v>
      </c>
      <c r="B498" s="160" t="s">
        <v>349</v>
      </c>
      <c r="C498" s="160" t="s">
        <v>86</v>
      </c>
      <c r="D498" s="160" t="s">
        <v>1554</v>
      </c>
      <c r="E498" s="160" t="str" cm="1">
        <f t="array" aca="1" ref="E498" ca="1">IF(C498="", INDIRECT("'"&amp;B498&amp;"'!B3"), INDEX(INDIRECT("'"&amp;B498&amp;"'!5:5"), COLUMN(INDIRECT("'"&amp;B498&amp;"'!"&amp;D498))))</f>
        <v>Outsourcing - Sanctions Screening Tasks</v>
      </c>
      <c r="F498" s="160" t="s">
        <v>1776</v>
      </c>
      <c r="G498" s="160" t="s">
        <v>1773</v>
      </c>
      <c r="H498" s="160" t="s">
        <v>1782</v>
      </c>
      <c r="I498" s="160" t="str">
        <f>IF(TRIM(SUBSTITUTE('AML.07.02'!$G$11&amp;"",CHAR(160),""))="","OK",IF(COUNTIF(LIST_AMLA_00010,'AML.07.02'!$G$11)=0,$G498&amp;": "&amp;$H498,"OK"))</f>
        <v>OK</v>
      </c>
      <c r="J498" s="57" t="str">
        <f>IF(LEN(IF(VLOOKUP("AMLA_VR_AML.07.02_C0060_01",$A:$I,9,0)&lt;&gt;"OK",CHAR(10)&amp;VLOOKUP("AMLA_VR_AML.07.02_C0060_01",$A:$I,9,0),""))=0,"OK",MID(IF(VLOOKUP("AMLA_VR_AML.07.02_C0060_01",$A:$I,9,0)&lt;&gt;"OK",CHAR(10)&amp;VLOOKUP("AMLA_VR_AML.07.02_C0060_01",$A:$I,9,0),""),2,3000))</f>
        <v>OK</v>
      </c>
      <c r="K498" s="161" t="s">
        <v>1775</v>
      </c>
    </row>
    <row r="499" spans="1:11">
      <c r="A499" s="159" t="str">
        <f>"AMLA_VR_" &amp; B499 &amp; "_" &amp; C499 &amp; "_" &amp; TEXT(COUNTIFS($B$2:B499, B499, $C$2:C499, C499), "00")</f>
        <v>AMLA_VR_AML.07.02_C0070_01</v>
      </c>
      <c r="B499" s="157" t="s">
        <v>349</v>
      </c>
      <c r="C499" s="157" t="s">
        <v>87</v>
      </c>
      <c r="D499" s="157" t="s">
        <v>1555</v>
      </c>
      <c r="E499" s="160" t="str" cm="1">
        <f t="array" aca="1" ref="E499" ca="1">IF(C499="", INDIRECT("'"&amp;B499&amp;"'!B3"), INDEX(INDIRECT("'"&amp;B499&amp;"'!5:5"), COLUMN(INDIRECT("'"&amp;B499&amp;"'!"&amp;D499))))</f>
        <v>Outsourcing - PEP status</v>
      </c>
      <c r="F499" s="157" t="s">
        <v>1776</v>
      </c>
      <c r="G499" s="157" t="s">
        <v>1773</v>
      </c>
      <c r="H499" s="157" t="s">
        <v>1782</v>
      </c>
      <c r="I499" s="157" t="str">
        <f>IF(TRIM(SUBSTITUTE('AML.07.02'!$H$11&amp;"",CHAR(160),""))="","OK",IF(COUNTIF(LIST_AMLA_00010,'AML.07.02'!$H$11)=0,$G499&amp;": "&amp;$H499,"OK"))</f>
        <v>OK</v>
      </c>
      <c r="J499" s="171" t="str">
        <f>IF(LEN(IF(VLOOKUP("AMLA_VR_AML.07.02_C0070_01",$A:$I,9,0)&lt;&gt;"OK",CHAR(10)&amp;VLOOKUP("AMLA_VR_AML.07.02_C0070_01",$A:$I,9,0),""))=0,"OK",MID(IF(VLOOKUP("AMLA_VR_AML.07.02_C0070_01",$A:$I,9,0)&lt;&gt;"OK",CHAR(10)&amp;VLOOKUP("AMLA_VR_AML.07.02_C0070_01",$A:$I,9,0),""),2,3000))</f>
        <v>OK</v>
      </c>
      <c r="K499" s="158" t="s">
        <v>1775</v>
      </c>
    </row>
    <row r="500" spans="1:11">
      <c r="A500" s="159" t="str">
        <f>"AMLA_VR_" &amp; B500 &amp; "_" &amp; C500 &amp; "_" &amp; TEXT(COUNTIFS($B$2:B500, B500, $C$2:C500, C500), "00")</f>
        <v>AMLA_VR_AML.07.02_C0080_01</v>
      </c>
      <c r="B500" s="160" t="s">
        <v>349</v>
      </c>
      <c r="C500" s="160" t="s">
        <v>88</v>
      </c>
      <c r="D500" s="160" t="s">
        <v>1556</v>
      </c>
      <c r="E500" s="160" t="str" cm="1">
        <f t="array" aca="1" ref="E500" ca="1">IF(C500="", INDIRECT("'"&amp;B500&amp;"'!B3"), INDEX(INDIRECT("'"&amp;B500&amp;"'!5:5"), COLUMN(INDIRECT("'"&amp;B500&amp;"'!"&amp;D500))))</f>
        <v>Outsourcing - Compliance Monitoring Checks</v>
      </c>
      <c r="F500" s="160" t="s">
        <v>1776</v>
      </c>
      <c r="G500" s="160" t="s">
        <v>1773</v>
      </c>
      <c r="H500" s="160" t="s">
        <v>1782</v>
      </c>
      <c r="I500" s="160" t="str">
        <f>IF(TRIM(SUBSTITUTE('AML.07.02'!$I$11&amp;"",CHAR(160),""))="","OK",IF(COUNTIF(LIST_AMLA_00010,'AML.07.02'!$I$11)=0,$G500&amp;": "&amp;$H500,"OK"))</f>
        <v>OK</v>
      </c>
      <c r="J500" s="57" t="str">
        <f>IF(LEN(IF(VLOOKUP("AMLA_VR_AML.07.02_C0080_01",$A:$I,9,0)&lt;&gt;"OK",CHAR(10)&amp;VLOOKUP("AMLA_VR_AML.07.02_C0080_01",$A:$I,9,0),""))=0,"OK",MID(IF(VLOOKUP("AMLA_VR_AML.07.02_C0080_01",$A:$I,9,0)&lt;&gt;"OK",CHAR(10)&amp;VLOOKUP("AMLA_VR_AML.07.02_C0080_01",$A:$I,9,0),""),2,3000))</f>
        <v>OK</v>
      </c>
      <c r="K500" s="161" t="s">
        <v>1775</v>
      </c>
    </row>
    <row r="501" spans="1:11">
      <c r="A501" s="159" t="str">
        <f>"AMLA_VR_" &amp; B501 &amp; "_" &amp; C501 &amp; "_" &amp; TEXT(COUNTIFS($B$2:B501, B501, $C$2:C501, C501), "00")</f>
        <v>AMLA_VR_AML.07.02_C0090_01</v>
      </c>
      <c r="B501" s="157" t="s">
        <v>349</v>
      </c>
      <c r="C501" s="157" t="s">
        <v>89</v>
      </c>
      <c r="D501" s="157" t="s">
        <v>1557</v>
      </c>
      <c r="E501" s="160" t="str" cm="1">
        <f t="array" aca="1" ref="E501" ca="1">IF(C501="", INDIRECT("'"&amp;B501&amp;"'!B3"), INDEX(INDIRECT("'"&amp;B501&amp;"'!5:5"), COLUMN(INDIRECT("'"&amp;B501&amp;"'!"&amp;D501))))</f>
        <v>Outsourcing - Third Country (Non-group)</v>
      </c>
      <c r="F501" s="157" t="s">
        <v>1776</v>
      </c>
      <c r="G501" s="157" t="s">
        <v>1773</v>
      </c>
      <c r="H501" s="157" t="s">
        <v>1782</v>
      </c>
      <c r="I501" s="157" t="str">
        <f>IF(TRIM(SUBSTITUTE('AML.07.02'!$J$11&amp;"",CHAR(160),""))="","OK",IF(COUNTIF(LIST_AMLA_00006,'AML.07.02'!$J$11)=0,$G501&amp;": "&amp;$H501,"OK"))</f>
        <v>OK</v>
      </c>
      <c r="J501" s="171" t="str">
        <f>IF(LEN(IF(VLOOKUP("AMLA_VR_AML.07.02_C0090_01",$A:$I,9,0)&lt;&gt;"OK",CHAR(10)&amp;VLOOKUP("AMLA_VR_AML.07.02_C0090_01",$A:$I,9,0),""))=0,"OK",MID(IF(VLOOKUP("AMLA_VR_AML.07.02_C0090_01",$A:$I,9,0)&lt;&gt;"OK",CHAR(10)&amp;VLOOKUP("AMLA_VR_AML.07.02_C0090_01",$A:$I,9,0),""),2,3000))</f>
        <v>OK</v>
      </c>
      <c r="K501" s="158" t="s">
        <v>1775</v>
      </c>
    </row>
    <row r="502" spans="1:11">
      <c r="A502" s="159" t="str">
        <f>"AMLA_VR_" &amp; B502 &amp; "_" &amp; C502 &amp; "_" &amp; TEXT(COUNTIFS($B$2:B502, B502, $C$2:C502, C502), "00")</f>
        <v>AMLA_VR_AML.07.02_C0100_01</v>
      </c>
      <c r="B502" s="160" t="s">
        <v>349</v>
      </c>
      <c r="C502" s="160" t="s">
        <v>90</v>
      </c>
      <c r="D502" s="160" t="s">
        <v>1558</v>
      </c>
      <c r="E502" s="160" t="str" cm="1">
        <f t="array" aca="1" ref="E502" ca="1">IF(C502="", INDIRECT("'"&amp;B502&amp;"'!B3"), INDEX(INDIRECT("'"&amp;B502&amp;"'!5:5"), COLUMN(INDIRECT("'"&amp;B502&amp;"'!"&amp;D502))))</f>
        <v>Outsourcing - Third Country (Intra-group)</v>
      </c>
      <c r="F502" s="160" t="s">
        <v>1776</v>
      </c>
      <c r="G502" s="160" t="s">
        <v>1773</v>
      </c>
      <c r="H502" s="160" t="s">
        <v>1782</v>
      </c>
      <c r="I502" s="160" t="str">
        <f>IF(TRIM(SUBSTITUTE('AML.07.02'!$K$11&amp;"",CHAR(160),""))="","OK",IF(COUNTIF(LIST_AMLA_00006,'AML.07.02'!$K$11)=0,$G502&amp;": "&amp;$H502,"OK"))</f>
        <v>OK</v>
      </c>
      <c r="J502" s="57" t="str">
        <f>IF(LEN(IF(VLOOKUP("AMLA_VR_AML.07.02_C0100_01",$A:$I,9,0)&lt;&gt;"OK",CHAR(10)&amp;VLOOKUP("AMLA_VR_AML.07.02_C0100_01",$A:$I,9,0),""))=0,"OK",MID(IF(VLOOKUP("AMLA_VR_AML.07.02_C0100_01",$A:$I,9,0)&lt;&gt;"OK",CHAR(10)&amp;VLOOKUP("AMLA_VR_AML.07.02_C0100_01",$A:$I,9,0),""),2,3000))</f>
        <v>OK</v>
      </c>
      <c r="K502" s="161" t="s">
        <v>1775</v>
      </c>
    </row>
    <row r="503" spans="1:11">
      <c r="A503" s="159" t="str">
        <f>"AMLA_VR_" &amp; B503 &amp; "_" &amp; C503 &amp; "_" &amp; TEXT(COUNTIFS($B$2:B503, B503, $C$2:C503, C503), "00")</f>
        <v>AMLA_VR_AML.07.02_C0110_01</v>
      </c>
      <c r="B503" s="157" t="s">
        <v>349</v>
      </c>
      <c r="C503" s="157" t="s">
        <v>91</v>
      </c>
      <c r="D503" s="157" t="s">
        <v>1559</v>
      </c>
      <c r="E503" s="160" t="str" cm="1">
        <f t="array" aca="1" ref="E503" ca="1">IF(C503="", INDIRECT("'"&amp;B503&amp;"'!B3"), INDEX(INDIRECT("'"&amp;B503&amp;"'!5:5"), COLUMN(INDIRECT("'"&amp;B503&amp;"'!"&amp;D503))))</f>
        <v>Last Audit - BWRA</v>
      </c>
      <c r="F503" s="157" t="s">
        <v>1772</v>
      </c>
      <c r="G503" s="157" t="s">
        <v>1773</v>
      </c>
      <c r="H503" s="157" t="s">
        <v>1922</v>
      </c>
      <c r="I503" s="157" t="str">
        <f>IF('AML.07.02'!$L$11&gt;DATE(2025,12,31), $G503 &amp; ": " &amp; $H503, "OK")</f>
        <v>OK</v>
      </c>
      <c r="J503" s="171" t="str">
        <f>IF(LEN(IF(VLOOKUP("AMLA_VR_AML.07.02_C0110_01",$A:$I,9,0)&lt;&gt;"OK",CHAR(10)&amp;VLOOKUP("AMLA_VR_AML.07.02_C0110_01",$A:$I,9,0),"")&amp;IF(VLOOKUP("AMLA_VR_AML.07.02_C0110_02",$A:$I,9,0)&lt;&gt;"OK",CHAR(10)&amp;VLOOKUP("AMLA_VR_AML.07.02_C0110_02",$A:$I,9,0),""))=0,"OK",MID(IF(VLOOKUP("AMLA_VR_AML.07.02_C0110_01",$A:$I,9,0)&lt;&gt;"OK",CHAR(10)&amp;VLOOKUP("AMLA_VR_AML.07.02_C0110_01",$A:$I,9,0),"")&amp;IF(VLOOKUP("AMLA_VR_AML.07.02_C0110_02",$A:$I,9,0)&lt;&gt;"OK",CHAR(10)&amp;VLOOKUP("AMLA_VR_AML.07.02_C0110_02",$A:$I,9,0),""),2,3000))</f>
        <v>OK</v>
      </c>
      <c r="K503" s="158" t="s">
        <v>1775</v>
      </c>
    </row>
    <row r="504" spans="1:11">
      <c r="A504" s="159" t="str">
        <f>"AMLA_VR_" &amp; B504 &amp; "_" &amp; C504 &amp; "_" &amp; TEXT(COUNTIFS($B$2:B504, B504, $C$2:C504, C504), "00")</f>
        <v>AMLA_VR_AML.07.02_C0110_02</v>
      </c>
      <c r="B504" s="157" t="s">
        <v>349</v>
      </c>
      <c r="C504" s="157" t="s">
        <v>91</v>
      </c>
      <c r="D504" s="157" t="s">
        <v>1559</v>
      </c>
      <c r="E504" s="160" t="str" cm="1">
        <f t="array" aca="1" ref="E504" ca="1">IF(C504="", INDIRECT("'"&amp;B504&amp;"'!B3"), INDEX(INDIRECT("'"&amp;B504&amp;"'!5:5"), COLUMN(INDIRECT("'"&amp;B504&amp;"'!"&amp;D504))))</f>
        <v>Last Audit - BWRA</v>
      </c>
      <c r="F504" s="157" t="s">
        <v>1776</v>
      </c>
      <c r="G504" s="157" t="s">
        <v>1773</v>
      </c>
      <c r="H504" s="157" t="s">
        <v>1919</v>
      </c>
      <c r="I504" s="157" t="str">
        <f>IF(TRIM('AML.07.02'!$L$11&amp;"")="", "OK", IF(ISNUMBER('AML.07.02'!$L$11+0), "OK", $G504&amp;": "&amp;$H504))</f>
        <v>OK</v>
      </c>
      <c r="J504" s="171" t="str">
        <f>IF(LEN(IF(VLOOKUP("AMLA_VR_AML.07.02_C0110_01",$A:$I,9,0)&lt;&gt;"OK",CHAR(10)&amp;VLOOKUP("AMLA_VR_AML.07.02_C0110_01",$A:$I,9,0),"")&amp;IF(VLOOKUP("AMLA_VR_AML.07.02_C0110_02",$A:$I,9,0)&lt;&gt;"OK",CHAR(10)&amp;VLOOKUP("AMLA_VR_AML.07.02_C0110_02",$A:$I,9,0),""))=0,"OK",MID(IF(VLOOKUP("AMLA_VR_AML.07.02_C0110_01",$A:$I,9,0)&lt;&gt;"OK",CHAR(10)&amp;VLOOKUP("AMLA_VR_AML.07.02_C0110_01",$A:$I,9,0),"")&amp;IF(VLOOKUP("AMLA_VR_AML.07.02_C0110_02",$A:$I,9,0)&lt;&gt;"OK",CHAR(10)&amp;VLOOKUP("AMLA_VR_AML.07.02_C0110_02",$A:$I,9,0),""),2,3000))</f>
        <v>OK</v>
      </c>
      <c r="K504" s="158" t="s">
        <v>1775</v>
      </c>
    </row>
    <row r="505" spans="1:11">
      <c r="A505" s="159" t="str">
        <f>"AMLA_VR_" &amp; B505 &amp; "_" &amp; C505 &amp; "_" &amp; TEXT(COUNTIFS($B$2:B505, B505, $C$2:C505, C505), "00")</f>
        <v>AMLA_VR_AML.07.02_C0120_01</v>
      </c>
      <c r="B505" s="160" t="s">
        <v>349</v>
      </c>
      <c r="C505" s="160" t="s">
        <v>92</v>
      </c>
      <c r="D505" s="160" t="s">
        <v>1560</v>
      </c>
      <c r="E505" s="160" t="str" cm="1">
        <f t="array" aca="1" ref="E505" ca="1">IF(C505="", INDIRECT("'"&amp;B505&amp;"'!B3"), INDEX(INDIRECT("'"&amp;B505&amp;"'!5:5"), COLUMN(INDIRECT("'"&amp;B505&amp;"'!"&amp;D505))))</f>
        <v>Last Audit - Customers ML/TF Risk Profile</v>
      </c>
      <c r="F505" s="160" t="s">
        <v>1772</v>
      </c>
      <c r="G505" s="160" t="s">
        <v>1773</v>
      </c>
      <c r="H505" s="160" t="s">
        <v>1923</v>
      </c>
      <c r="I505" s="160" t="str">
        <f>IF('AML.07.02'!$M$11&gt;DATE(2025,12,31), $G505 &amp; ": " &amp; $H505, "OK")</f>
        <v>OK</v>
      </c>
      <c r="J505" s="57" t="str">
        <f>IF(LEN(IF(VLOOKUP("AMLA_VR_AML.07.02_C0120_01",$A:$I,9,0)&lt;&gt;"OK",CHAR(10)&amp;VLOOKUP("AMLA_VR_AML.07.02_C0120_01",$A:$I,9,0),"")&amp;IF(VLOOKUP("AMLA_VR_AML.07.02_C0120_02",$A:$I,9,0)&lt;&gt;"OK",CHAR(10)&amp;VLOOKUP("AMLA_VR_AML.07.02_C0120_02",$A:$I,9,0),""))=0,"OK",MID(IF(VLOOKUP("AMLA_VR_AML.07.02_C0120_01",$A:$I,9,0)&lt;&gt;"OK",CHAR(10)&amp;VLOOKUP("AMLA_VR_AML.07.02_C0120_01",$A:$I,9,0),"")&amp;IF(VLOOKUP("AMLA_VR_AML.07.02_C0120_02",$A:$I,9,0)&lt;&gt;"OK",CHAR(10)&amp;VLOOKUP("AMLA_VR_AML.07.02_C0120_02",$A:$I,9,0),""),2,3000))</f>
        <v>OK</v>
      </c>
      <c r="K505" s="161" t="s">
        <v>1775</v>
      </c>
    </row>
    <row r="506" spans="1:11">
      <c r="A506" s="159" t="str">
        <f>"AMLA_VR_" &amp; B506 &amp; "_" &amp; C506 &amp; "_" &amp; TEXT(COUNTIFS($B$2:B506, B506, $C$2:C506, C506), "00")</f>
        <v>AMLA_VR_AML.07.02_C0120_02</v>
      </c>
      <c r="B506" s="160" t="s">
        <v>349</v>
      </c>
      <c r="C506" s="160" t="s">
        <v>92</v>
      </c>
      <c r="D506" s="160" t="s">
        <v>1560</v>
      </c>
      <c r="E506" s="160" t="str" cm="1">
        <f t="array" aca="1" ref="E506" ca="1">IF(C506="", INDIRECT("'"&amp;B506&amp;"'!B3"), INDEX(INDIRECT("'"&amp;B506&amp;"'!5:5"), COLUMN(INDIRECT("'"&amp;B506&amp;"'!"&amp;D506))))</f>
        <v>Last Audit - Customers ML/TF Risk Profile</v>
      </c>
      <c r="F506" s="160" t="s">
        <v>1776</v>
      </c>
      <c r="G506" s="160" t="s">
        <v>1773</v>
      </c>
      <c r="H506" s="160" t="s">
        <v>1919</v>
      </c>
      <c r="I506" s="160" t="str">
        <f>IF(TRIM('AML.07.02'!$M$11&amp;"")="", "OK", IF(ISNUMBER('AML.07.02'!$M$11+0), "OK", $G506&amp;": "&amp;$H506))</f>
        <v>OK</v>
      </c>
      <c r="J506" s="57" t="str">
        <f>IF(LEN(IF(VLOOKUP("AMLA_VR_AML.07.02_C0120_01",$A:$I,9,0)&lt;&gt;"OK",CHAR(10)&amp;VLOOKUP("AMLA_VR_AML.07.02_C0120_01",$A:$I,9,0),"")&amp;IF(VLOOKUP("AMLA_VR_AML.07.02_C0120_02",$A:$I,9,0)&lt;&gt;"OK",CHAR(10)&amp;VLOOKUP("AMLA_VR_AML.07.02_C0120_02",$A:$I,9,0),""))=0,"OK",MID(IF(VLOOKUP("AMLA_VR_AML.07.02_C0120_01",$A:$I,9,0)&lt;&gt;"OK",CHAR(10)&amp;VLOOKUP("AMLA_VR_AML.07.02_C0120_01",$A:$I,9,0),"")&amp;IF(VLOOKUP("AMLA_VR_AML.07.02_C0120_02",$A:$I,9,0)&lt;&gt;"OK",CHAR(10)&amp;VLOOKUP("AMLA_VR_AML.07.02_C0120_02",$A:$I,9,0),""),2,3000))</f>
        <v>OK</v>
      </c>
      <c r="K506" s="161" t="s">
        <v>1775</v>
      </c>
    </row>
    <row r="507" spans="1:11">
      <c r="A507" s="159" t="str">
        <f>"AMLA_VR_" &amp; B507 &amp; "_" &amp; C507 &amp; "_" &amp; TEXT(COUNTIFS($B$2:B507, B507, $C$2:C507, C507), "00")</f>
        <v>AMLA_VR_AML.07.02_C0130_01</v>
      </c>
      <c r="B507" s="157" t="s">
        <v>349</v>
      </c>
      <c r="C507" s="157" t="s">
        <v>93</v>
      </c>
      <c r="D507" s="157" t="s">
        <v>1561</v>
      </c>
      <c r="E507" s="160" t="str" cm="1">
        <f t="array" aca="1" ref="E507" ca="1">IF(C507="", INDIRECT("'"&amp;B507&amp;"'!B3"), INDEX(INDIRECT("'"&amp;B507&amp;"'!5:5"), COLUMN(INDIRECT("'"&amp;B507&amp;"'!"&amp;D507))))</f>
        <v>Last Audit – Assessment AML/CFT Training measures</v>
      </c>
      <c r="F507" s="157" t="s">
        <v>1772</v>
      </c>
      <c r="G507" s="157" t="s">
        <v>1773</v>
      </c>
      <c r="H507" s="157" t="s">
        <v>1924</v>
      </c>
      <c r="I507" s="157" t="str">
        <f>IF('AML.07.02'!$N$11&gt;DATE(2025,12,31), $G507 &amp; ": " &amp; $H507, "OK")</f>
        <v>OK</v>
      </c>
      <c r="J507" s="171" t="str">
        <f>IF(LEN(IF(VLOOKUP("AMLA_VR_AML.07.02_C0130_01",$A:$I,9,0)&lt;&gt;"OK",CHAR(10)&amp;VLOOKUP("AMLA_VR_AML.07.02_C0130_01",$A:$I,9,0),"")&amp;IF(VLOOKUP("AMLA_VR_AML.07.02_C0130_02",$A:$I,9,0)&lt;&gt;"OK",CHAR(10)&amp;VLOOKUP("AMLA_VR_AML.07.02_C0130_02",$A:$I,9,0),""))=0,"OK",MID(IF(VLOOKUP("AMLA_VR_AML.07.02_C0130_01",$A:$I,9,0)&lt;&gt;"OK",CHAR(10)&amp;VLOOKUP("AMLA_VR_AML.07.02_C0130_01",$A:$I,9,0),"")&amp;IF(VLOOKUP("AMLA_VR_AML.07.02_C0130_02",$A:$I,9,0)&lt;&gt;"OK",CHAR(10)&amp;VLOOKUP("AMLA_VR_AML.07.02_C0130_02",$A:$I,9,0),""),2,3000))</f>
        <v>OK</v>
      </c>
      <c r="K507" s="158" t="s">
        <v>1775</v>
      </c>
    </row>
    <row r="508" spans="1:11">
      <c r="A508" s="159" t="str">
        <f>"AMLA_VR_" &amp; B508 &amp; "_" &amp; C508 &amp; "_" &amp; TEXT(COUNTIFS($B$2:B508, B508, $C$2:C508, C508), "00")</f>
        <v>AMLA_VR_AML.07.02_C0130_02</v>
      </c>
      <c r="B508" s="157" t="s">
        <v>349</v>
      </c>
      <c r="C508" s="157" t="s">
        <v>93</v>
      </c>
      <c r="D508" s="157" t="s">
        <v>1561</v>
      </c>
      <c r="E508" s="160" t="str" cm="1">
        <f t="array" aca="1" ref="E508" ca="1">IF(C508="", INDIRECT("'"&amp;B508&amp;"'!B3"), INDEX(INDIRECT("'"&amp;B508&amp;"'!5:5"), COLUMN(INDIRECT("'"&amp;B508&amp;"'!"&amp;D508))))</f>
        <v>Last Audit – Assessment AML/CFT Training measures</v>
      </c>
      <c r="F508" s="157" t="s">
        <v>1776</v>
      </c>
      <c r="G508" s="157" t="s">
        <v>1773</v>
      </c>
      <c r="H508" s="157" t="s">
        <v>1919</v>
      </c>
      <c r="I508" s="157" t="str">
        <f>IF(TRIM('AML.07.02'!$N$11&amp;"")="", "OK", IF(ISNUMBER('AML.07.02'!$N$11+0), "OK", $G508&amp;": "&amp;$H508))</f>
        <v>OK</v>
      </c>
      <c r="J508" s="171" t="str">
        <f>IF(LEN(IF(VLOOKUP("AMLA_VR_AML.07.02_C0130_01",$A:$I,9,0)&lt;&gt;"OK",CHAR(10)&amp;VLOOKUP("AMLA_VR_AML.07.02_C0130_01",$A:$I,9,0),"")&amp;IF(VLOOKUP("AMLA_VR_AML.07.02_C0130_02",$A:$I,9,0)&lt;&gt;"OK",CHAR(10)&amp;VLOOKUP("AMLA_VR_AML.07.02_C0130_02",$A:$I,9,0),""))=0,"OK",MID(IF(VLOOKUP("AMLA_VR_AML.07.02_C0130_01",$A:$I,9,0)&lt;&gt;"OK",CHAR(10)&amp;VLOOKUP("AMLA_VR_AML.07.02_C0130_01",$A:$I,9,0),"")&amp;IF(VLOOKUP("AMLA_VR_AML.07.02_C0130_02",$A:$I,9,0)&lt;&gt;"OK",CHAR(10)&amp;VLOOKUP("AMLA_VR_AML.07.02_C0130_02",$A:$I,9,0),""),2,3000))</f>
        <v>OK</v>
      </c>
      <c r="K508" s="158" t="s">
        <v>1775</v>
      </c>
    </row>
    <row r="509" spans="1:11">
      <c r="A509" s="159" t="str">
        <f>"AMLA_VR_" &amp; B509 &amp; "_" &amp; C509 &amp; "_" &amp; TEXT(COUNTIFS($B$2:B509, B509, $C$2:C509, C509), "00")</f>
        <v>AMLA_VR_AML.07.02_C0140_01</v>
      </c>
      <c r="B509" s="160" t="s">
        <v>349</v>
      </c>
      <c r="C509" s="160" t="s">
        <v>94</v>
      </c>
      <c r="D509" s="160" t="s">
        <v>1562</v>
      </c>
      <c r="E509" s="160" t="str" cm="1">
        <f t="array" aca="1" ref="E509" ca="1">IF(C509="", INDIRECT("'"&amp;B509&amp;"'!B3"), INDEX(INDIRECT("'"&amp;B509&amp;"'!5:5"), COLUMN(INDIRECT("'"&amp;B509&amp;"'!"&amp;D509))))</f>
        <v>Last Audit - Identification and Verification Procedures</v>
      </c>
      <c r="F509" s="160" t="s">
        <v>1772</v>
      </c>
      <c r="G509" s="160" t="s">
        <v>1773</v>
      </c>
      <c r="H509" s="160" t="s">
        <v>1925</v>
      </c>
      <c r="I509" s="160" t="str">
        <f>IF('AML.07.02'!$O$11&gt;DATE(2025,12,31), $G509 &amp; ": " &amp; $H509, "OK")</f>
        <v>OK</v>
      </c>
      <c r="J509" s="57" t="str">
        <f>IF(LEN(IF(VLOOKUP("AMLA_VR_AML.07.02_C0140_01",$A:$I,9,0)&lt;&gt;"OK",CHAR(10)&amp;VLOOKUP("AMLA_VR_AML.07.02_C0140_01",$A:$I,9,0),"")&amp;IF(VLOOKUP("AMLA_VR_AML.07.02_C0140_02",$A:$I,9,0)&lt;&gt;"OK",CHAR(10)&amp;VLOOKUP("AMLA_VR_AML.07.02_C0140_02",$A:$I,9,0),""))=0,"OK",MID(IF(VLOOKUP("AMLA_VR_AML.07.02_C0140_01",$A:$I,9,0)&lt;&gt;"OK",CHAR(10)&amp;VLOOKUP("AMLA_VR_AML.07.02_C0140_01",$A:$I,9,0),"")&amp;IF(VLOOKUP("AMLA_VR_AML.07.02_C0140_02",$A:$I,9,0)&lt;&gt;"OK",CHAR(10)&amp;VLOOKUP("AMLA_VR_AML.07.02_C0140_02",$A:$I,9,0),""),2,3000))</f>
        <v>OK</v>
      </c>
      <c r="K509" s="161" t="s">
        <v>1775</v>
      </c>
    </row>
    <row r="510" spans="1:11">
      <c r="A510" s="159" t="str">
        <f>"AMLA_VR_" &amp; B510 &amp; "_" &amp; C510 &amp; "_" &amp; TEXT(COUNTIFS($B$2:B510, B510, $C$2:C510, C510), "00")</f>
        <v>AMLA_VR_AML.07.02_C0140_02</v>
      </c>
      <c r="B510" s="160" t="s">
        <v>349</v>
      </c>
      <c r="C510" s="160" t="s">
        <v>94</v>
      </c>
      <c r="D510" s="160" t="s">
        <v>1562</v>
      </c>
      <c r="E510" s="160" t="str" cm="1">
        <f t="array" aca="1" ref="E510" ca="1">IF(C510="", INDIRECT("'"&amp;B510&amp;"'!B3"), INDEX(INDIRECT("'"&amp;B510&amp;"'!5:5"), COLUMN(INDIRECT("'"&amp;B510&amp;"'!"&amp;D510))))</f>
        <v>Last Audit - Identification and Verification Procedures</v>
      </c>
      <c r="F510" s="160" t="s">
        <v>1776</v>
      </c>
      <c r="G510" s="160" t="s">
        <v>1773</v>
      </c>
      <c r="H510" s="160" t="s">
        <v>1919</v>
      </c>
      <c r="I510" s="160" t="str">
        <f>IF(TRIM('AML.07.02'!$O$11&amp;"")="", "OK", IF(ISNUMBER('AML.07.02'!$O$11+0), "OK", $G510&amp;": "&amp;$H510))</f>
        <v>OK</v>
      </c>
      <c r="J510" s="57" t="str">
        <f>IF(LEN(IF(VLOOKUP("AMLA_VR_AML.07.02_C0140_01",$A:$I,9,0)&lt;&gt;"OK",CHAR(10)&amp;VLOOKUP("AMLA_VR_AML.07.02_C0140_01",$A:$I,9,0),"")&amp;IF(VLOOKUP("AMLA_VR_AML.07.02_C0140_02",$A:$I,9,0)&lt;&gt;"OK",CHAR(10)&amp;VLOOKUP("AMLA_VR_AML.07.02_C0140_02",$A:$I,9,0),""))=0,"OK",MID(IF(VLOOKUP("AMLA_VR_AML.07.02_C0140_01",$A:$I,9,0)&lt;&gt;"OK",CHAR(10)&amp;VLOOKUP("AMLA_VR_AML.07.02_C0140_01",$A:$I,9,0),"")&amp;IF(VLOOKUP("AMLA_VR_AML.07.02_C0140_02",$A:$I,9,0)&lt;&gt;"OK",CHAR(10)&amp;VLOOKUP("AMLA_VR_AML.07.02_C0140_02",$A:$I,9,0),""),2,3000))</f>
        <v>OK</v>
      </c>
      <c r="K510" s="161" t="s">
        <v>1775</v>
      </c>
    </row>
    <row r="511" spans="1:11">
      <c r="A511" s="159" t="str">
        <f>"AMLA_VR_" &amp; B511 &amp; "_" &amp; C511 &amp; "_" &amp; TEXT(COUNTIFS($B$2:B511, B511, $C$2:C511, C511), "00")</f>
        <v>AMLA_VR_AML.07.02_C0150_01</v>
      </c>
      <c r="B511" s="157" t="s">
        <v>349</v>
      </c>
      <c r="C511" s="157" t="s">
        <v>95</v>
      </c>
      <c r="D511" s="157" t="s">
        <v>1563</v>
      </c>
      <c r="E511" s="160" t="str" cm="1">
        <f t="array" aca="1" ref="E511" ca="1">IF(C511="", INDIRECT("'"&amp;B511&amp;"'!B3"), INDEX(INDIRECT("'"&amp;B511&amp;"'!5:5"), COLUMN(INDIRECT("'"&amp;B511&amp;"'!"&amp;D511))))</f>
        <v>Last Audit - Policies and Procedures for Monitoring and Analysing Business Relationships</v>
      </c>
      <c r="F511" s="157" t="s">
        <v>1772</v>
      </c>
      <c r="G511" s="157" t="s">
        <v>1773</v>
      </c>
      <c r="H511" s="157" t="s">
        <v>1926</v>
      </c>
      <c r="I511" s="171" t="str">
        <f>IF('AML.07.02'!$P$11&gt;DATE(2025,12,31), $G511 &amp; ": " &amp; $H511, "OK")</f>
        <v>OK</v>
      </c>
      <c r="J511" s="171" t="str">
        <f>IF(LEN(IF(VLOOKUP("AMLA_VR_AML.07.02_C0150_01",$A:$I,9,0)&lt;&gt;"OK",CHAR(10)&amp;VLOOKUP("AMLA_VR_AML.07.02_C0150_01",$A:$I,9,0),"")&amp;IF(VLOOKUP("AMLA_VR_AML.07.02_C0150_02",$A:$I,9,0)&lt;&gt;"OK",CHAR(10)&amp;VLOOKUP("AMLA_VR_AML.07.02_C0150_02",$A:$I,9,0),""))=0,"OK",MID(IF(VLOOKUP("AMLA_VR_AML.07.02_C0150_01",$A:$I,9,0)&lt;&gt;"OK",CHAR(10)&amp;VLOOKUP("AMLA_VR_AML.07.02_C0150_01",$A:$I,9,0),"")&amp;IF(VLOOKUP("AMLA_VR_AML.07.02_C0150_02",$A:$I,9,0)&lt;&gt;"OK",CHAR(10)&amp;VLOOKUP("AMLA_VR_AML.07.02_C0150_02",$A:$I,9,0),""),2,3000))</f>
        <v>OK</v>
      </c>
      <c r="K511" s="158" t="s">
        <v>1775</v>
      </c>
    </row>
    <row r="512" spans="1:11">
      <c r="A512" s="159" t="str">
        <f>"AMLA_VR_" &amp; B512 &amp; "_" &amp; C512 &amp; "_" &amp; TEXT(COUNTIFS($B$2:B512, B512, $C$2:C512, C512), "00")</f>
        <v>AMLA_VR_AML.07.02_C0150_02</v>
      </c>
      <c r="B512" s="157" t="s">
        <v>349</v>
      </c>
      <c r="C512" s="157" t="s">
        <v>95</v>
      </c>
      <c r="D512" s="157" t="s">
        <v>1563</v>
      </c>
      <c r="E512" s="160" t="str" cm="1">
        <f t="array" aca="1" ref="E512" ca="1">IF(C512="", INDIRECT("'"&amp;B512&amp;"'!B3"), INDEX(INDIRECT("'"&amp;B512&amp;"'!5:5"), COLUMN(INDIRECT("'"&amp;B512&amp;"'!"&amp;D512))))</f>
        <v>Last Audit - Policies and Procedures for Monitoring and Analysing Business Relationships</v>
      </c>
      <c r="F512" s="157" t="s">
        <v>1776</v>
      </c>
      <c r="G512" s="157" t="s">
        <v>1773</v>
      </c>
      <c r="H512" s="157" t="s">
        <v>1919</v>
      </c>
      <c r="I512" s="171" t="str">
        <f>IF(TRIM('AML.07.02'!$P$11&amp;"")="", "OK", IF(ISNUMBER('AML.07.02'!$P$11+0), "OK", $G512&amp;": "&amp;$H512))</f>
        <v>OK</v>
      </c>
      <c r="J512" s="171" t="str">
        <f>IF(LEN(IF(VLOOKUP("AMLA_VR_AML.07.02_C0150_01",$A:$I,9,0)&lt;&gt;"OK",CHAR(10)&amp;VLOOKUP("AMLA_VR_AML.07.02_C0150_01",$A:$I,9,0),"")&amp;IF(VLOOKUP("AMLA_VR_AML.07.02_C0150_02",$A:$I,9,0)&lt;&gt;"OK",CHAR(10)&amp;VLOOKUP("AMLA_VR_AML.07.02_C0150_02",$A:$I,9,0),""))=0,"OK",MID(IF(VLOOKUP("AMLA_VR_AML.07.02_C0150_01",$A:$I,9,0)&lt;&gt;"OK",CHAR(10)&amp;VLOOKUP("AMLA_VR_AML.07.02_C0150_01",$A:$I,9,0),"")&amp;IF(VLOOKUP("AMLA_VR_AML.07.02_C0150_02",$A:$I,9,0)&lt;&gt;"OK",CHAR(10)&amp;VLOOKUP("AMLA_VR_AML.07.02_C0150_02",$A:$I,9,0),""),2,3000))</f>
        <v>OK</v>
      </c>
      <c r="K512" s="158" t="s">
        <v>1775</v>
      </c>
    </row>
    <row r="513" spans="1:11">
      <c r="A513" s="159" t="str">
        <f>"AMLA_VR_" &amp; B513 &amp; "_" &amp; C513 &amp; "_" &amp; TEXT(COUNTIFS($B$2:B513, B513, $C$2:C513, C513), "00")</f>
        <v>AMLA_VR_AML.07.02_C0160_01</v>
      </c>
      <c r="B513" s="160" t="s">
        <v>349</v>
      </c>
      <c r="C513" s="160" t="s">
        <v>96</v>
      </c>
      <c r="D513" s="160" t="s">
        <v>1564</v>
      </c>
      <c r="E513" s="160" t="str" cm="1">
        <f t="array" aca="1" ref="E513" ca="1">IF(C513="", INDIRECT("'"&amp;B513&amp;"'!B3"), INDEX(INDIRECT("'"&amp;B513&amp;"'!5:5"), COLUMN(INDIRECT("'"&amp;B513&amp;"'!"&amp;D513))))</f>
        <v>Last Audit - Suspicious Transaction or Activity Reporting Procedures</v>
      </c>
      <c r="F513" s="160" t="s">
        <v>1772</v>
      </c>
      <c r="G513" s="160" t="s">
        <v>1773</v>
      </c>
      <c r="H513" s="160" t="s">
        <v>1927</v>
      </c>
      <c r="I513" s="57" t="str">
        <f>IF('AML.07.02'!$Q$11&gt;DATE(2025,12,31), $G513 &amp; ": " &amp; $H513, "OK")</f>
        <v>OK</v>
      </c>
      <c r="J513" s="57" t="str">
        <f>IF(LEN(IF(VLOOKUP("AMLA_VR_AML.07.02_C0160_01",$A:$I,9,0)&lt;&gt;"OK",CHAR(10)&amp;VLOOKUP("AMLA_VR_AML.07.02_C0160_01",$A:$I,9,0),"")&amp;IF(VLOOKUP("AMLA_VR_AML.07.02_C0160_02",$A:$I,9,0)&lt;&gt;"OK",CHAR(10)&amp;VLOOKUP("AMLA_VR_AML.07.02_C0160_02",$A:$I,9,0),""))=0,"OK",MID(IF(VLOOKUP("AMLA_VR_AML.07.02_C0160_01",$A:$I,9,0)&lt;&gt;"OK",CHAR(10)&amp;VLOOKUP("AMLA_VR_AML.07.02_C0160_01",$A:$I,9,0),"")&amp;IF(VLOOKUP("AMLA_VR_AML.07.02_C0160_02",$A:$I,9,0)&lt;&gt;"OK",CHAR(10)&amp;VLOOKUP("AMLA_VR_AML.07.02_C0160_02",$A:$I,9,0),""),2,3000))</f>
        <v>OK</v>
      </c>
      <c r="K513" s="161" t="s">
        <v>1775</v>
      </c>
    </row>
    <row r="514" spans="1:11">
      <c r="A514" s="159" t="str">
        <f>"AMLA_VR_" &amp; B514 &amp; "_" &amp; C514 &amp; "_" &amp; TEXT(COUNTIFS($B$2:B514, B514, $C$2:C514, C514), "00")</f>
        <v>AMLA_VR_AML.07.02_C0160_02</v>
      </c>
      <c r="B514" s="160" t="s">
        <v>349</v>
      </c>
      <c r="C514" s="160" t="s">
        <v>96</v>
      </c>
      <c r="D514" s="160" t="s">
        <v>1564</v>
      </c>
      <c r="E514" s="160" t="str" cm="1">
        <f t="array" aca="1" ref="E514" ca="1">IF(C514="", INDIRECT("'"&amp;B514&amp;"'!B3"), INDEX(INDIRECT("'"&amp;B514&amp;"'!5:5"), COLUMN(INDIRECT("'"&amp;B514&amp;"'!"&amp;D514))))</f>
        <v>Last Audit - Suspicious Transaction or Activity Reporting Procedures</v>
      </c>
      <c r="F514" s="160" t="s">
        <v>1776</v>
      </c>
      <c r="G514" s="160" t="s">
        <v>1773</v>
      </c>
      <c r="H514" s="160" t="s">
        <v>1919</v>
      </c>
      <c r="I514" s="57" t="str">
        <f>IF(TRIM('AML.07.02'!$Q$11&amp;"")="", "OK", IF(ISNUMBER('AML.07.02'!$Q$11+0), "OK", $G514&amp;": "&amp;$H514))</f>
        <v>OK</v>
      </c>
      <c r="J514" s="57" t="str">
        <f>IF(LEN(IF(VLOOKUP("AMLA_VR_AML.07.02_C0160_01",$A:$I,9,0)&lt;&gt;"OK",CHAR(10)&amp;VLOOKUP("AMLA_VR_AML.07.02_C0160_01",$A:$I,9,0),"")&amp;IF(VLOOKUP("AMLA_VR_AML.07.02_C0160_02",$A:$I,9,0)&lt;&gt;"OK",CHAR(10)&amp;VLOOKUP("AMLA_VR_AML.07.02_C0160_02",$A:$I,9,0),""))=0,"OK",MID(IF(VLOOKUP("AMLA_VR_AML.07.02_C0160_01",$A:$I,9,0)&lt;&gt;"OK",CHAR(10)&amp;VLOOKUP("AMLA_VR_AML.07.02_C0160_01",$A:$I,9,0),"")&amp;IF(VLOOKUP("AMLA_VR_AML.07.02_C0160_02",$A:$I,9,0)&lt;&gt;"OK",CHAR(10)&amp;VLOOKUP("AMLA_VR_AML.07.02_C0160_02",$A:$I,9,0),""),2,3000))</f>
        <v>OK</v>
      </c>
      <c r="K514" s="161" t="s">
        <v>1775</v>
      </c>
    </row>
    <row r="515" spans="1:11">
      <c r="A515" s="159" t="str">
        <f>"AMLA_VR_" &amp; B515 &amp; "_" &amp; C515 &amp; "_" &amp; TEXT(COUNTIFS($B$2:B515, B515, $C$2:C515, C515), "00")</f>
        <v>AMLA_VR_AML.07.02_C0170_01</v>
      </c>
      <c r="B515" s="157" t="s">
        <v>349</v>
      </c>
      <c r="C515" s="157" t="s">
        <v>97</v>
      </c>
      <c r="D515" s="157" t="s">
        <v>1565</v>
      </c>
      <c r="E515" s="160" t="str" cm="1">
        <f t="array" aca="1" ref="E515" ca="1">IF(C515="", INDIRECT("'"&amp;B515&amp;"'!B3"), INDEX(INDIRECT("'"&amp;B515&amp;"'!5:5"), COLUMN(INDIRECT("'"&amp;B515&amp;"'!"&amp;D515))))</f>
        <v>Last Audit - Record-keeping Policies and Procedures</v>
      </c>
      <c r="F515" s="157" t="s">
        <v>1772</v>
      </c>
      <c r="G515" s="157" t="s">
        <v>1773</v>
      </c>
      <c r="H515" s="157" t="s">
        <v>1928</v>
      </c>
      <c r="I515" s="171" t="str">
        <f>IF('AML.07.02'!$R$11&gt;DATE(2025,12,31), $G515 &amp; ": " &amp; $H515, "OK")</f>
        <v>OK</v>
      </c>
      <c r="J515" s="171" t="str">
        <f>IF(LEN(IF(VLOOKUP("AMLA_VR_AML.07.02_C0170_01",$A:$I,9,0)&lt;&gt;"OK",CHAR(10)&amp;VLOOKUP("AMLA_VR_AML.07.02_C0170_01",$A:$I,9,0),"")&amp;IF(VLOOKUP("AMLA_VR_AML.07.02_C0170_02",$A:$I,9,0)&lt;&gt;"OK",CHAR(10)&amp;VLOOKUP("AMLA_VR_AML.07.02_C0170_02",$A:$I,9,0),""))=0,"OK",MID(IF(VLOOKUP("AMLA_VR_AML.07.02_C0170_01",$A:$I,9,0)&lt;&gt;"OK",CHAR(10)&amp;VLOOKUP("AMLA_VR_AML.07.02_C0170_01",$A:$I,9,0),"")&amp;IF(VLOOKUP("AMLA_VR_AML.07.02_C0170_02",$A:$I,9,0)&lt;&gt;"OK",CHAR(10)&amp;VLOOKUP("AMLA_VR_AML.07.02_C0170_02",$A:$I,9,0),""),2,3000))</f>
        <v>OK</v>
      </c>
      <c r="K515" s="158" t="s">
        <v>1775</v>
      </c>
    </row>
    <row r="516" spans="1:11">
      <c r="A516" s="159" t="str">
        <f>"AMLA_VR_" &amp; B516 &amp; "_" &amp; C516 &amp; "_" &amp; TEXT(COUNTIFS($B$2:B516, B516, $C$2:C516, C516), "00")</f>
        <v>AMLA_VR_AML.07.02_C0170_02</v>
      </c>
      <c r="B516" s="157" t="s">
        <v>349</v>
      </c>
      <c r="C516" s="157" t="s">
        <v>97</v>
      </c>
      <c r="D516" s="157" t="s">
        <v>1565</v>
      </c>
      <c r="E516" s="160" t="str" cm="1">
        <f t="array" aca="1" ref="E516" ca="1">IF(C516="", INDIRECT("'"&amp;B516&amp;"'!B3"), INDEX(INDIRECT("'"&amp;B516&amp;"'!5:5"), COLUMN(INDIRECT("'"&amp;B516&amp;"'!"&amp;D516))))</f>
        <v>Last Audit - Record-keeping Policies and Procedures</v>
      </c>
      <c r="F516" s="157" t="s">
        <v>1776</v>
      </c>
      <c r="G516" s="157" t="s">
        <v>1773</v>
      </c>
      <c r="H516" s="157" t="s">
        <v>1919</v>
      </c>
      <c r="I516" s="171" t="str">
        <f>IF(TRIM('AML.07.02'!$R$11&amp;"")="", "OK", IF(ISNUMBER('AML.07.02'!$R$11+0), "OK", $G516&amp;": "&amp;$H516))</f>
        <v>OK</v>
      </c>
      <c r="J516" s="171" t="str">
        <f>IF(LEN(IF(VLOOKUP("AMLA_VR_AML.07.02_C0170_01",$A:$I,9,0)&lt;&gt;"OK",CHAR(10)&amp;VLOOKUP("AMLA_VR_AML.07.02_C0170_01",$A:$I,9,0),"")&amp;IF(VLOOKUP("AMLA_VR_AML.07.02_C0170_02",$A:$I,9,0)&lt;&gt;"OK",CHAR(10)&amp;VLOOKUP("AMLA_VR_AML.07.02_C0170_02",$A:$I,9,0),""))=0,"OK",MID(IF(VLOOKUP("AMLA_VR_AML.07.02_C0170_01",$A:$I,9,0)&lt;&gt;"OK",CHAR(10)&amp;VLOOKUP("AMLA_VR_AML.07.02_C0170_01",$A:$I,9,0),"")&amp;IF(VLOOKUP("AMLA_VR_AML.07.02_C0170_02",$A:$I,9,0)&lt;&gt;"OK",CHAR(10)&amp;VLOOKUP("AMLA_VR_AML.07.02_C0170_02",$A:$I,9,0),""),2,3000))</f>
        <v>OK</v>
      </c>
      <c r="K516" s="158" t="s">
        <v>1775</v>
      </c>
    </row>
    <row r="517" spans="1:11">
      <c r="A517" s="159" t="str">
        <f>"AMLA_VR_" &amp; B517 &amp; "_" &amp; C517 &amp; "_" &amp; TEXT(COUNTIFS($B$2:B517, B517, $C$2:C517, C517), "00")</f>
        <v>AMLA_VR_AML.07.02_C0180_01</v>
      </c>
      <c r="B517" s="160" t="s">
        <v>349</v>
      </c>
      <c r="C517" s="160" t="s">
        <v>98</v>
      </c>
      <c r="D517" s="160" t="s">
        <v>1566</v>
      </c>
      <c r="E517" s="160" t="str" cm="1">
        <f t="array" aca="1" ref="E517" ca="1">IF(C517="", INDIRECT("'"&amp;B517&amp;"'!B3"), INDEX(INDIRECT("'"&amp;B517&amp;"'!5:5"), COLUMN(INDIRECT("'"&amp;B517&amp;"'!"&amp;D517))))</f>
        <v>Last Audit - Resources dedicated to AML/CFT</v>
      </c>
      <c r="F517" s="160" t="s">
        <v>1772</v>
      </c>
      <c r="G517" s="160" t="s">
        <v>1773</v>
      </c>
      <c r="H517" s="160" t="s">
        <v>1929</v>
      </c>
      <c r="I517" s="57" t="str">
        <f>IF('AML.07.02'!$S$11&gt;DATE(2025,12,31), $G517 &amp; ": " &amp; $H517, "OK")</f>
        <v>OK</v>
      </c>
      <c r="J517" s="57" t="str">
        <f>IF(LEN(IF(VLOOKUP("AMLA_VR_AML.07.02_C0180_01",$A:$I,9,0)&lt;&gt;"OK",CHAR(10)&amp;VLOOKUP("AMLA_VR_AML.07.02_C0180_01",$A:$I,9,0),"")&amp;IF(VLOOKUP("AMLA_VR_AML.07.02_C0180_02",$A:$I,9,0)&lt;&gt;"OK",CHAR(10)&amp;VLOOKUP("AMLA_VR_AML.07.02_C0180_02",$A:$I,9,0),""))=0,"OK",MID(IF(VLOOKUP("AMLA_VR_AML.07.02_C0180_01",$A:$I,9,0)&lt;&gt;"OK",CHAR(10)&amp;VLOOKUP("AMLA_VR_AML.07.02_C0180_01",$A:$I,9,0),"")&amp;IF(VLOOKUP("AMLA_VR_AML.07.02_C0180_02",$A:$I,9,0)&lt;&gt;"OK",CHAR(10)&amp;VLOOKUP("AMLA_VR_AML.07.02_C0180_02",$A:$I,9,0),""),2,3000))</f>
        <v>OK</v>
      </c>
      <c r="K517" s="161" t="s">
        <v>1775</v>
      </c>
    </row>
    <row r="518" spans="1:11">
      <c r="A518" s="159" t="str">
        <f>"AMLA_VR_" &amp; B518 &amp; "_" &amp; C518 &amp; "_" &amp; TEXT(COUNTIFS($B$2:B518, B518, $C$2:C518, C518), "00")</f>
        <v>AMLA_VR_AML.07.02_C0180_02</v>
      </c>
      <c r="B518" s="160" t="s">
        <v>349</v>
      </c>
      <c r="C518" s="160" t="s">
        <v>98</v>
      </c>
      <c r="D518" s="160" t="s">
        <v>1566</v>
      </c>
      <c r="E518" s="160" t="str" cm="1">
        <f t="array" aca="1" ref="E518" ca="1">IF(C518="", INDIRECT("'"&amp;B518&amp;"'!B3"), INDEX(INDIRECT("'"&amp;B518&amp;"'!5:5"), COLUMN(INDIRECT("'"&amp;B518&amp;"'!"&amp;D518))))</f>
        <v>Last Audit - Resources dedicated to AML/CFT</v>
      </c>
      <c r="F518" s="160" t="s">
        <v>1776</v>
      </c>
      <c r="G518" s="160" t="s">
        <v>1773</v>
      </c>
      <c r="H518" s="160" t="s">
        <v>1919</v>
      </c>
      <c r="I518" s="57" t="str">
        <f>IF(TRIM('AML.07.02'!$S$11&amp;"")="", "OK", IF(ISNUMBER('AML.07.02'!$S$11+0), "OK", $G518&amp;": "&amp;$H518))</f>
        <v>OK</v>
      </c>
      <c r="J518" s="57" t="str">
        <f>IF(LEN(IF(VLOOKUP("AMLA_VR_AML.07.02_C0180_01",$A:$I,9,0)&lt;&gt;"OK",CHAR(10)&amp;VLOOKUP("AMLA_VR_AML.07.02_C0180_01",$A:$I,9,0),"")&amp;IF(VLOOKUP("AMLA_VR_AML.07.02_C0180_02",$A:$I,9,0)&lt;&gt;"OK",CHAR(10)&amp;VLOOKUP("AMLA_VR_AML.07.02_C0180_02",$A:$I,9,0),""))=0,"OK",MID(IF(VLOOKUP("AMLA_VR_AML.07.02_C0180_01",$A:$I,9,0)&lt;&gt;"OK",CHAR(10)&amp;VLOOKUP("AMLA_VR_AML.07.02_C0180_01",$A:$I,9,0),"")&amp;IF(VLOOKUP("AMLA_VR_AML.07.02_C0180_02",$A:$I,9,0)&lt;&gt;"OK",CHAR(10)&amp;VLOOKUP("AMLA_VR_AML.07.02_C0180_02",$A:$I,9,0),""),2,3000))</f>
        <v>OK</v>
      </c>
      <c r="K518" s="161" t="s">
        <v>1775</v>
      </c>
    </row>
    <row r="519" spans="1:11">
      <c r="A519" s="159" t="str">
        <f>"AMLA_VR_" &amp; B519 &amp; "_" &amp; C519 &amp; "_" &amp; TEXT(COUNTIFS($B$2:B519, B519, $C$2:C519, C519), "00")</f>
        <v>AMLA_VR_AML.07.02_C0190_01</v>
      </c>
      <c r="B519" s="157" t="s">
        <v>349</v>
      </c>
      <c r="C519" s="157" t="s">
        <v>99</v>
      </c>
      <c r="D519" s="157" t="s">
        <v>1567</v>
      </c>
      <c r="E519" s="160" t="str" cm="1">
        <f t="array" aca="1" ref="E519" ca="1">IF(C519="", INDIRECT("'"&amp;B519&amp;"'!B3"), INDEX(INDIRECT("'"&amp;B519&amp;"'!5:5"), COLUMN(INDIRECT("'"&amp;B519&amp;"'!"&amp;D519))))</f>
        <v>Last Audit - Organisation of the AML/CFT System, Governance and Reporting Arrangements</v>
      </c>
      <c r="F519" s="157" t="s">
        <v>1772</v>
      </c>
      <c r="G519" s="157" t="s">
        <v>1773</v>
      </c>
      <c r="H519" s="157" t="s">
        <v>1930</v>
      </c>
      <c r="I519" s="171" t="str">
        <f>IF('AML.07.02'!$T$11&gt;DATE(2025,12,31), $G519 &amp; ": " &amp; $H519, "OK")</f>
        <v>OK</v>
      </c>
      <c r="J519" s="171" t="str">
        <f>IF(LEN(IF(VLOOKUP("AMLA_VR_AML.07.02_C0190_01",$A:$I,9,0)&lt;&gt;"OK",CHAR(10)&amp;VLOOKUP("AMLA_VR_AML.07.02_C0190_01",$A:$I,9,0),"")&amp;IF(VLOOKUP("AMLA_VR_AML.07.02_C0190_02",$A:$I,9,0)&lt;&gt;"OK",CHAR(10)&amp;VLOOKUP("AMLA_VR_AML.07.02_C0190_02",$A:$I,9,0),""))=0,"OK",MID(IF(VLOOKUP("AMLA_VR_AML.07.02_C0190_01",$A:$I,9,0)&lt;&gt;"OK",CHAR(10)&amp;VLOOKUP("AMLA_VR_AML.07.02_C0190_01",$A:$I,9,0),"")&amp;IF(VLOOKUP("AMLA_VR_AML.07.02_C0190_02",$A:$I,9,0)&lt;&gt;"OK",CHAR(10)&amp;VLOOKUP("AMLA_VR_AML.07.02_C0190_02",$A:$I,9,0),""),2,3000))</f>
        <v>OK</v>
      </c>
      <c r="K519" s="158" t="s">
        <v>1775</v>
      </c>
    </row>
    <row r="520" spans="1:11">
      <c r="A520" s="159" t="str">
        <f>"AMLA_VR_" &amp; B520 &amp; "_" &amp; C520 &amp; "_" &amp; TEXT(COUNTIFS($B$2:B520, B520, $C$2:C520, C520), "00")</f>
        <v>AMLA_VR_AML.07.02_C0190_02</v>
      </c>
      <c r="B520" s="157" t="s">
        <v>349</v>
      </c>
      <c r="C520" s="157" t="s">
        <v>99</v>
      </c>
      <c r="D520" s="157" t="s">
        <v>1567</v>
      </c>
      <c r="E520" s="160" t="str" cm="1">
        <f t="array" aca="1" ref="E520" ca="1">IF(C520="", INDIRECT("'"&amp;B520&amp;"'!B3"), INDEX(INDIRECT("'"&amp;B520&amp;"'!5:5"), COLUMN(INDIRECT("'"&amp;B520&amp;"'!"&amp;D520))))</f>
        <v>Last Audit - Organisation of the AML/CFT System, Governance and Reporting Arrangements</v>
      </c>
      <c r="F520" s="157" t="s">
        <v>1776</v>
      </c>
      <c r="G520" s="157" t="s">
        <v>1773</v>
      </c>
      <c r="H520" s="157" t="s">
        <v>1919</v>
      </c>
      <c r="I520" s="171" t="str">
        <f>IF(TRIM('AML.07.02'!$T$11&amp;"")="", "OK", IF(ISNUMBER('AML.07.02'!$T$11+0), "OK", $G520&amp;": "&amp;$H520))</f>
        <v>OK</v>
      </c>
      <c r="J520" s="171" t="str">
        <f>IF(LEN(IF(VLOOKUP("AMLA_VR_AML.07.02_C0190_01",$A:$I,9,0)&lt;&gt;"OK",CHAR(10)&amp;VLOOKUP("AMLA_VR_AML.07.02_C0190_01",$A:$I,9,0),"")&amp;IF(VLOOKUP("AMLA_VR_AML.07.02_C0190_02",$A:$I,9,0)&lt;&gt;"OK",CHAR(10)&amp;VLOOKUP("AMLA_VR_AML.07.02_C0190_02",$A:$I,9,0),""))=0,"OK",MID(IF(VLOOKUP("AMLA_VR_AML.07.02_C0190_01",$A:$I,9,0)&lt;&gt;"OK",CHAR(10)&amp;VLOOKUP("AMLA_VR_AML.07.02_C0190_01",$A:$I,9,0),"")&amp;IF(VLOOKUP("AMLA_VR_AML.07.02_C0190_02",$A:$I,9,0)&lt;&gt;"OK",CHAR(10)&amp;VLOOKUP("AMLA_VR_AML.07.02_C0190_02",$A:$I,9,0),""),2,3000))</f>
        <v>OK</v>
      </c>
      <c r="K520" s="158" t="s">
        <v>1775</v>
      </c>
    </row>
    <row r="521" spans="1:11">
      <c r="A521" s="159" t="str">
        <f>"AMLA_VR_" &amp; B521 &amp; "_" &amp; C521 &amp; "_" &amp; TEXT(COUNTIFS($B$2:B521, B521, $C$2:C521, C521), "00")</f>
        <v>AMLA_VR_AML.07.03_C0010_01</v>
      </c>
      <c r="B521" s="160" t="s">
        <v>373</v>
      </c>
      <c r="C521" s="160" t="s">
        <v>81</v>
      </c>
      <c r="D521" s="160" t="s">
        <v>1549</v>
      </c>
      <c r="E521" s="160" t="str" cm="1">
        <f t="array" aca="1" ref="E521" ca="1">IF(C521="", INDIRECT("'"&amp;B521&amp;"'!B3"), INDEX(INDIRECT("'"&amp;B521&amp;"'!5:5"), COLUMN(INDIRECT("'"&amp;B521&amp;"'!"&amp;D521))))</f>
        <v>Last approval date of the BWRA</v>
      </c>
      <c r="F521" s="160" t="s">
        <v>1772</v>
      </c>
      <c r="G521" s="160" t="s">
        <v>1773</v>
      </c>
      <c r="H521" s="160" t="s">
        <v>1918</v>
      </c>
      <c r="I521" s="57" t="str">
        <f>IF('AML.07.03'!$B$11&gt;DATE(2025,12,31), $G521 &amp; ": " &amp; $H521, "OK")</f>
        <v>OK</v>
      </c>
      <c r="J521" s="57" t="str">
        <f>IF(LEN(IF(VLOOKUP("AMLA_VR_AML.07.03_C0010_01",$A:$I,9,0)&lt;&gt;"OK",CHAR(10)&amp;VLOOKUP("AMLA_VR_AML.07.03_C0010_01",$A:$I,9,0),"")&amp;IF(VLOOKUP("AMLA_VR_AML.07.03_C0010_02",$A:$I,9,0)&lt;&gt;"OK",CHAR(10)&amp;VLOOKUP("AMLA_VR_AML.07.03_C0010_02",$A:$I,9,0),""))=0,"OK",MID(IF(VLOOKUP("AMLA_VR_AML.07.03_C0010_01",$A:$I,9,0)&lt;&gt;"OK",CHAR(10)&amp;VLOOKUP("AMLA_VR_AML.07.03_C0010_01",$A:$I,9,0),"")&amp;IF(VLOOKUP("AMLA_VR_AML.07.03_C0010_02",$A:$I,9,0)&lt;&gt;"OK",CHAR(10)&amp;VLOOKUP("AMLA_VR_AML.07.03_C0010_02",$A:$I,9,0),""),2,3000))</f>
        <v>OK</v>
      </c>
      <c r="K521" s="161" t="s">
        <v>1775</v>
      </c>
    </row>
    <row r="522" spans="1:11">
      <c r="A522" s="159" t="str">
        <f>"AMLA_VR_" &amp; B522 &amp; "_" &amp; C522 &amp; "_" &amp; TEXT(COUNTIFS($B$2:B522, B522, $C$2:C522, C522), "00")</f>
        <v>AMLA_VR_AML.07.03_C0010_02</v>
      </c>
      <c r="B522" s="160" t="s">
        <v>373</v>
      </c>
      <c r="C522" s="160" t="s">
        <v>81</v>
      </c>
      <c r="D522" s="160" t="s">
        <v>1549</v>
      </c>
      <c r="E522" s="160" t="str" cm="1">
        <f t="array" aca="1" ref="E522" ca="1">IF(C522="", INDIRECT("'"&amp;B522&amp;"'!B3"), INDEX(INDIRECT("'"&amp;B522&amp;"'!5:5"), COLUMN(INDIRECT("'"&amp;B522&amp;"'!"&amp;D522))))</f>
        <v>Last approval date of the BWRA</v>
      </c>
      <c r="F522" s="160" t="s">
        <v>1776</v>
      </c>
      <c r="G522" s="160" t="s">
        <v>1773</v>
      </c>
      <c r="H522" s="160" t="s">
        <v>1919</v>
      </c>
      <c r="I522" s="57" t="str">
        <f>IF(TRIM('AML.07.03'!$B$11&amp;"")="", "OK", IF(ISNUMBER('AML.07.03'!$B$11+0), "OK", $G522&amp;": "&amp;$H522))</f>
        <v>OK</v>
      </c>
      <c r="J522" s="57" t="str">
        <f>IF(LEN(IF(VLOOKUP("AMLA_VR_AML.07.03_C0010_01",$A:$I,9,0)&lt;&gt;"OK",CHAR(10)&amp;VLOOKUP("AMLA_VR_AML.07.03_C0010_01",$A:$I,9,0),"")&amp;IF(VLOOKUP("AMLA_VR_AML.07.03_C0010_02",$A:$I,9,0)&lt;&gt;"OK",CHAR(10)&amp;VLOOKUP("AMLA_VR_AML.07.03_C0010_02",$A:$I,9,0),""))=0,"OK",MID(IF(VLOOKUP("AMLA_VR_AML.07.03_C0010_01",$A:$I,9,0)&lt;&gt;"OK",CHAR(10)&amp;VLOOKUP("AMLA_VR_AML.07.03_C0010_01",$A:$I,9,0),"")&amp;IF(VLOOKUP("AMLA_VR_AML.07.03_C0010_02",$A:$I,9,0)&lt;&gt;"OK",CHAR(10)&amp;VLOOKUP("AMLA_VR_AML.07.03_C0010_02",$A:$I,9,0),""),2,3000))</f>
        <v>OK</v>
      </c>
      <c r="K522" s="161" t="s">
        <v>1775</v>
      </c>
    </row>
    <row r="523" spans="1:11">
      <c r="A523" s="159" t="str">
        <f>"AMLA_VR_" &amp; B523 &amp; "_" &amp; C523 &amp; "_" &amp; TEXT(COUNTIFS($B$2:B523, B523, $C$2:C523, C523), "00")</f>
        <v>AMLA_VR_AML.07.03_C0020_01</v>
      </c>
      <c r="B523" s="157" t="s">
        <v>373</v>
      </c>
      <c r="C523" s="157" t="s">
        <v>82</v>
      </c>
      <c r="D523" s="157" t="s">
        <v>1550</v>
      </c>
      <c r="E523" s="160" t="str" cm="1">
        <f t="array" aca="1" ref="E523" ca="1">IF(C523="", INDIRECT("'"&amp;B523&amp;"'!B3"), INDEX(INDIRECT("'"&amp;B523&amp;"'!5:5"), COLUMN(INDIRECT("'"&amp;B523&amp;"'!"&amp;D523))))</f>
        <v>Senior Management Approval (BWRA)</v>
      </c>
      <c r="F523" s="157" t="s">
        <v>1776</v>
      </c>
      <c r="G523" s="157" t="s">
        <v>1773</v>
      </c>
      <c r="H523" s="157" t="s">
        <v>1782</v>
      </c>
      <c r="I523" s="171" t="str">
        <f>IF(TRIM(SUBSTITUTE('AML.07.03'!$C$11&amp;"",CHAR(160),""))="","OK",IF(COUNTIF(LIST_AMLA_00006,'AML.07.03'!$C$11)=0,$G523&amp;": "&amp;$H523,"OK"))</f>
        <v>OK</v>
      </c>
      <c r="J523" s="171" t="str">
        <f>IF(LEN(IF(VLOOKUP("AMLA_VR_AML.07.03_C0020_01",$A:$I,9,0)&lt;&gt;"OK",CHAR(10)&amp;VLOOKUP("AMLA_VR_AML.07.03_C0020_01",$A:$I,9,0),""))=0,"OK",MID(IF(VLOOKUP("AMLA_VR_AML.07.03_C0020_01",$A:$I,9,0)&lt;&gt;"OK",CHAR(10)&amp;VLOOKUP("AMLA_VR_AML.07.03_C0020_01",$A:$I,9,0),""),2,3000))</f>
        <v>OK</v>
      </c>
      <c r="K523" s="158" t="s">
        <v>1775</v>
      </c>
    </row>
    <row r="524" spans="1:11">
      <c r="A524" s="159" t="str">
        <f>"AMLA_VR_" &amp; B524 &amp; "_" &amp; C524 &amp; "_" &amp; TEXT(COUNTIFS($B$2:B524, B524, $C$2:C524, C524), "00")</f>
        <v>AMLA_VR_AML.07.03_C0030_01</v>
      </c>
      <c r="B524" s="157" t="s">
        <v>373</v>
      </c>
      <c r="C524" s="157" t="s">
        <v>83</v>
      </c>
      <c r="D524" s="157" t="s">
        <v>1551</v>
      </c>
      <c r="E524" s="160" t="str" cm="1">
        <f t="array" aca="1" ref="E524" ca="1">IF(C524="", INDIRECT("'"&amp;B524&amp;"'!B3"), INDEX(INDIRECT("'"&amp;B524&amp;"'!5:5"), COLUMN(INDIRECT("'"&amp;B524&amp;"'!"&amp;D524))))</f>
        <v>Date of the last update of the CRA</v>
      </c>
      <c r="F524" s="157" t="s">
        <v>1772</v>
      </c>
      <c r="G524" s="157" t="s">
        <v>1773</v>
      </c>
      <c r="H524" s="157" t="s">
        <v>1931</v>
      </c>
      <c r="I524" s="171" t="str">
        <f>IF('AML.07.03'!$D$11&gt;DATE(2025,12,31), $G524 &amp; ": " &amp; $H524, "OK")</f>
        <v>OK</v>
      </c>
      <c r="J524" s="171" t="str">
        <f>IF(LEN(IF(VLOOKUP("AMLA_VR_AML.07.03_C0030_01",$A:$I,9,0)&lt;&gt;"OK",CHAR(10)&amp;VLOOKUP("AMLA_VR_AML.07.03_C0030_01",$A:$I,9,0),"")&amp;IF(VLOOKUP("AMLA_VR_AML.07.03_C0030_02",$A:$I,9,0)&lt;&gt;"OK",CHAR(10)&amp;VLOOKUP("AMLA_VR_AML.07.03_C0030_02",$A:$I,9,0),""))=0,"OK",MID(IF(VLOOKUP("AMLA_VR_AML.07.03_C0030_01",$A:$I,9,0)&lt;&gt;"OK",CHAR(10)&amp;VLOOKUP("AMLA_VR_AML.07.03_C0030_01",$A:$I,9,0),"")&amp;IF(VLOOKUP("AMLA_VR_AML.07.03_C0030_02",$A:$I,9,0)&lt;&gt;"OK",CHAR(10)&amp;VLOOKUP("AMLA_VR_AML.07.03_C0030_02",$A:$I,9,0),""),2,3000))</f>
        <v>OK</v>
      </c>
      <c r="K524" s="158" t="s">
        <v>1775</v>
      </c>
    </row>
    <row r="525" spans="1:11">
      <c r="A525" s="159" t="str">
        <f>"AMLA_VR_" &amp; B525 &amp; "_" &amp; C525 &amp; "_" &amp; TEXT(COUNTIFS($B$2:B525, B525, $C$2:C525, C525), "00")</f>
        <v>AMLA_VR_AML.07.03_C0030_02</v>
      </c>
      <c r="B525" s="160" t="s">
        <v>373</v>
      </c>
      <c r="C525" s="160" t="s">
        <v>83</v>
      </c>
      <c r="D525" s="160" t="s">
        <v>1551</v>
      </c>
      <c r="E525" s="160" t="str" cm="1">
        <f t="array" aca="1" ref="E525" ca="1">IF(C525="", INDIRECT("'"&amp;B525&amp;"'!B3"), INDEX(INDIRECT("'"&amp;B525&amp;"'!5:5"), COLUMN(INDIRECT("'"&amp;B525&amp;"'!"&amp;D525))))</f>
        <v>Date of the last update of the CRA</v>
      </c>
      <c r="F525" s="160" t="s">
        <v>1776</v>
      </c>
      <c r="G525" s="160" t="s">
        <v>1773</v>
      </c>
      <c r="H525" s="160" t="s">
        <v>1919</v>
      </c>
      <c r="I525" s="57" t="str">
        <f>IF(TRIM('AML.07.03'!$D$11&amp;"")="", "OK", IF(ISNUMBER('AML.07.03'!$D$11+0), "OK", $G525&amp;": "&amp;$H525))</f>
        <v>OK</v>
      </c>
      <c r="J525" s="57" t="str">
        <f>IF(LEN(IF(VLOOKUP("AMLA_VR_AML.07.03_C0030_01",$A:$I,9,0)&lt;&gt;"OK",CHAR(10)&amp;VLOOKUP("AMLA_VR_AML.07.03_C0030_01",$A:$I,9,0),"")&amp;IF(VLOOKUP("AMLA_VR_AML.07.03_C0030_02",$A:$I,9,0)&lt;&gt;"OK",CHAR(10)&amp;VLOOKUP("AMLA_VR_AML.07.03_C0030_02",$A:$I,9,0),""))=0,"OK",MID(IF(VLOOKUP("AMLA_VR_AML.07.03_C0030_01",$A:$I,9,0)&lt;&gt;"OK",CHAR(10)&amp;VLOOKUP("AMLA_VR_AML.07.03_C0030_01",$A:$I,9,0),"")&amp;IF(VLOOKUP("AMLA_VR_AML.07.03_C0030_02",$A:$I,9,0)&lt;&gt;"OK",CHAR(10)&amp;VLOOKUP("AMLA_VR_AML.07.03_C0030_02",$A:$I,9,0),""),2,3000))</f>
        <v>OK</v>
      </c>
      <c r="K525" s="161" t="s">
        <v>1775</v>
      </c>
    </row>
    <row r="526" spans="1:11">
      <c r="A526" s="159" t="str">
        <f>"AMLA_VR_" &amp; B526 &amp; "_" &amp; C526 &amp; "_" &amp; TEXT(COUNTIFS($B$2:B526, B526, $C$2:C526, C526), "00")</f>
        <v>AMLA_VR_AML.07.03_C0040_01</v>
      </c>
      <c r="B526" s="160" t="s">
        <v>373</v>
      </c>
      <c r="C526" s="160" t="s">
        <v>84</v>
      </c>
      <c r="D526" s="160" t="s">
        <v>1552</v>
      </c>
      <c r="E526" s="160" t="str" cm="1">
        <f t="array" aca="1" ref="E526" ca="1">IF(C526="", INDIRECT("'"&amp;B526&amp;"'!B3"), INDEX(INDIRECT("'"&amp;B526&amp;"'!5:5"), COLUMN(INDIRECT("'"&amp;B526&amp;"'!"&amp;D526))))</f>
        <v>Customers - Low Risk</v>
      </c>
      <c r="F526" s="160" t="s">
        <v>1772</v>
      </c>
      <c r="G526" s="160" t="s">
        <v>1773</v>
      </c>
      <c r="H526" s="160" t="s">
        <v>1821</v>
      </c>
      <c r="I526" s="57" t="str">
        <f>IF('AML.07.03'!$E$11&lt;0, $G526 &amp; ": " &amp; $H526, "OK")</f>
        <v>OK</v>
      </c>
      <c r="J526" s="57" t="str">
        <f>IF(LEN(IF(VLOOKUP("AMLA_VR_AML.07.03_C0040_01",$A:$I,9,0)&lt;&gt;"OK",CHAR(10)&amp;VLOOKUP("AMLA_VR_AML.07.03_C0040_01",$A:$I,9,0),"")&amp;IF(VLOOKUP("AMLA_VR_AML.07.03_C0040_02",$A:$I,9,0)&lt;&gt;"OK",CHAR(10)&amp;VLOOKUP("AMLA_VR_AML.07.03_C0040_02",$A:$I,9,0),""))=0,"OK",MID(IF(VLOOKUP("AMLA_VR_AML.07.03_C0040_01",$A:$I,9,0)&lt;&gt;"OK",CHAR(10)&amp;VLOOKUP("AMLA_VR_AML.07.03_C0040_01",$A:$I,9,0),"")&amp;IF(VLOOKUP("AMLA_VR_AML.07.03_C0040_02",$A:$I,9,0)&lt;&gt;"OK",CHAR(10)&amp;VLOOKUP("AMLA_VR_AML.07.03_C0040_02",$A:$I,9,0),""),2,3000))</f>
        <v>OK</v>
      </c>
      <c r="K526" s="161" t="s">
        <v>1775</v>
      </c>
    </row>
    <row r="527" spans="1:11">
      <c r="A527" s="159" t="str">
        <f>"AMLA_VR_" &amp; B527 &amp; "_" &amp; C527 &amp; "_" &amp; TEXT(COUNTIFS($B$2:B527, B527, $C$2:C527, C527), "00")</f>
        <v>AMLA_VR_AML.07.03_C0040_02</v>
      </c>
      <c r="B527" s="157" t="s">
        <v>373</v>
      </c>
      <c r="C527" s="157" t="s">
        <v>84</v>
      </c>
      <c r="D527" s="157" t="s">
        <v>1552</v>
      </c>
      <c r="E527" s="160" t="str" cm="1">
        <f t="array" aca="1" ref="E527" ca="1">IF(C527="", INDIRECT("'"&amp;B527&amp;"'!B3"), INDEX(INDIRECT("'"&amp;B527&amp;"'!5:5"), COLUMN(INDIRECT("'"&amp;B527&amp;"'!"&amp;D527))))</f>
        <v>Customers - Low Risk</v>
      </c>
      <c r="F527" s="157" t="s">
        <v>1776</v>
      </c>
      <c r="G527" s="157" t="s">
        <v>1773</v>
      </c>
      <c r="H527" s="157" t="s">
        <v>1816</v>
      </c>
      <c r="I527" s="171" t="str">
        <f>IF(TRIM(SUBSTITUTE('AML.07.03'!$E$11&amp;"",CHAR(160),""))="","OK",IF(OR(NOT(ISNUMBER('AML.07.03'!$E$11)),IFERROR(INT('AML.07.03'!$E$11)&lt;&gt;'AML.07.03'!$E$11,TRUE)),$G527&amp;": "&amp;$H527,"OK"))</f>
        <v>OK</v>
      </c>
      <c r="J527" s="171" t="str">
        <f>IF(LEN(IF(VLOOKUP("AMLA_VR_AML.07.03_C0040_01",$A:$I,9,0)&lt;&gt;"OK",CHAR(10)&amp;VLOOKUP("AMLA_VR_AML.07.03_C0040_01",$A:$I,9,0),"")&amp;IF(VLOOKUP("AMLA_VR_AML.07.03_C0040_02",$A:$I,9,0)&lt;&gt;"OK",CHAR(10)&amp;VLOOKUP("AMLA_VR_AML.07.03_C0040_02",$A:$I,9,0),""))=0,"OK",MID(IF(VLOOKUP("AMLA_VR_AML.07.03_C0040_01",$A:$I,9,0)&lt;&gt;"OK",CHAR(10)&amp;VLOOKUP("AMLA_VR_AML.07.03_C0040_01",$A:$I,9,0),"")&amp;IF(VLOOKUP("AMLA_VR_AML.07.03_C0040_02",$A:$I,9,0)&lt;&gt;"OK",CHAR(10)&amp;VLOOKUP("AMLA_VR_AML.07.03_C0040_02",$A:$I,9,0),""),2,3000))</f>
        <v>OK</v>
      </c>
      <c r="K527" s="158" t="s">
        <v>1775</v>
      </c>
    </row>
    <row r="528" spans="1:11">
      <c r="A528" s="159" t="str">
        <f>"AMLA_VR_" &amp; B528 &amp; "_" &amp; C528 &amp; "_" &amp; TEXT(COUNTIFS($B$2:B528, B528, $C$2:C528, C528), "00")</f>
        <v>AMLA_VR_AML.07.03_C0050_01</v>
      </c>
      <c r="B528" s="157" t="s">
        <v>373</v>
      </c>
      <c r="C528" s="157" t="s">
        <v>85</v>
      </c>
      <c r="D528" s="157" t="s">
        <v>1553</v>
      </c>
      <c r="E528" s="160" t="str" cm="1">
        <f t="array" aca="1" ref="E528" ca="1">IF(C528="", INDIRECT("'"&amp;B528&amp;"'!B3"), INDEX(INDIRECT("'"&amp;B528&amp;"'!5:5"), COLUMN(INDIRECT("'"&amp;B528&amp;"'!"&amp;D528))))</f>
        <v>Customers - Medium-low Risk</v>
      </c>
      <c r="F528" s="157" t="s">
        <v>1772</v>
      </c>
      <c r="G528" s="157" t="s">
        <v>1773</v>
      </c>
      <c r="H528" s="157" t="s">
        <v>1822</v>
      </c>
      <c r="I528" s="171" t="str">
        <f>IF('AML.07.03'!$F$11&lt;0, $G528 &amp; ": " &amp; $H528, "OK")</f>
        <v>OK</v>
      </c>
      <c r="J528" s="171" t="str">
        <f>IF(LEN(IF(VLOOKUP("AMLA_VR_AML.07.03_C0050_01",$A:$I,9,0)&lt;&gt;"OK",CHAR(10)&amp;VLOOKUP("AMLA_VR_AML.07.03_C0050_01",$A:$I,9,0),"")&amp;IF(VLOOKUP("AMLA_VR_AML.07.03_C0050_02",$A:$I,9,0)&lt;&gt;"OK",CHAR(10)&amp;VLOOKUP("AMLA_VR_AML.07.03_C0050_02",$A:$I,9,0),""))=0,"OK",MID(IF(VLOOKUP("AMLA_VR_AML.07.03_C0050_01",$A:$I,9,0)&lt;&gt;"OK",CHAR(10)&amp;VLOOKUP("AMLA_VR_AML.07.03_C0050_01",$A:$I,9,0),"")&amp;IF(VLOOKUP("AMLA_VR_AML.07.03_C0050_02",$A:$I,9,0)&lt;&gt;"OK",CHAR(10)&amp;VLOOKUP("AMLA_VR_AML.07.03_C0050_02",$A:$I,9,0),""),2,3000))</f>
        <v>OK</v>
      </c>
      <c r="K528" s="158" t="s">
        <v>1775</v>
      </c>
    </row>
    <row r="529" spans="1:11">
      <c r="A529" s="159" t="str">
        <f>"AMLA_VR_" &amp; B529 &amp; "_" &amp; C529 &amp; "_" &amp; TEXT(COUNTIFS($B$2:B529, B529, $C$2:C529, C529), "00")</f>
        <v>AMLA_VR_AML.07.03_C0050_02</v>
      </c>
      <c r="B529" s="160" t="s">
        <v>373</v>
      </c>
      <c r="C529" s="160" t="s">
        <v>85</v>
      </c>
      <c r="D529" s="160" t="s">
        <v>1553</v>
      </c>
      <c r="E529" s="160" t="str" cm="1">
        <f t="array" aca="1" ref="E529" ca="1">IF(C529="", INDIRECT("'"&amp;B529&amp;"'!B3"), INDEX(INDIRECT("'"&amp;B529&amp;"'!5:5"), COLUMN(INDIRECT("'"&amp;B529&amp;"'!"&amp;D529))))</f>
        <v>Customers - Medium-low Risk</v>
      </c>
      <c r="F529" s="160" t="s">
        <v>1776</v>
      </c>
      <c r="G529" s="160" t="s">
        <v>1773</v>
      </c>
      <c r="H529" s="160" t="s">
        <v>1816</v>
      </c>
      <c r="I529" s="57" t="str">
        <f>IF(TRIM(SUBSTITUTE('AML.07.03'!$F$11&amp;"",CHAR(160),""))="","OK",IF(OR(NOT(ISNUMBER('AML.07.03'!$F$11)),IFERROR(INT('AML.07.03'!$F$11)&lt;&gt;'AML.07.03'!$F$11,TRUE)),$G529&amp;": "&amp;$H529,"OK"))</f>
        <v>OK</v>
      </c>
      <c r="J529" s="57" t="str">
        <f>IF(LEN(IF(VLOOKUP("AMLA_VR_AML.07.03_C0050_01",$A:$I,9,0)&lt;&gt;"OK",CHAR(10)&amp;VLOOKUP("AMLA_VR_AML.07.03_C0050_01",$A:$I,9,0),"")&amp;IF(VLOOKUP("AMLA_VR_AML.07.03_C0050_02",$A:$I,9,0)&lt;&gt;"OK",CHAR(10)&amp;VLOOKUP("AMLA_VR_AML.07.03_C0050_02",$A:$I,9,0),""))=0,"OK",MID(IF(VLOOKUP("AMLA_VR_AML.07.03_C0050_01",$A:$I,9,0)&lt;&gt;"OK",CHAR(10)&amp;VLOOKUP("AMLA_VR_AML.07.03_C0050_01",$A:$I,9,0),"")&amp;IF(VLOOKUP("AMLA_VR_AML.07.03_C0050_02",$A:$I,9,0)&lt;&gt;"OK",CHAR(10)&amp;VLOOKUP("AMLA_VR_AML.07.03_C0050_02",$A:$I,9,0),""),2,3000))</f>
        <v>OK</v>
      </c>
      <c r="K529" s="161" t="s">
        <v>1775</v>
      </c>
    </row>
    <row r="530" spans="1:11">
      <c r="A530" s="159" t="str">
        <f>"AMLA_VR_" &amp; B530 &amp; "_" &amp; C530 &amp; "_" &amp; TEXT(COUNTIFS($B$2:B530, B530, $C$2:C530, C530), "00")</f>
        <v>AMLA_VR_AML.07.03_C0060_01</v>
      </c>
      <c r="B530" s="160" t="s">
        <v>373</v>
      </c>
      <c r="C530" s="160" t="s">
        <v>86</v>
      </c>
      <c r="D530" s="160" t="s">
        <v>1554</v>
      </c>
      <c r="E530" s="160" t="str" cm="1">
        <f t="array" aca="1" ref="E530" ca="1">IF(C530="", INDIRECT("'"&amp;B530&amp;"'!B3"), INDEX(INDIRECT("'"&amp;B530&amp;"'!5:5"), COLUMN(INDIRECT("'"&amp;B530&amp;"'!"&amp;D530))))</f>
        <v>Customers - Medium-high Risk</v>
      </c>
      <c r="F530" s="160" t="s">
        <v>1772</v>
      </c>
      <c r="G530" s="160" t="s">
        <v>1773</v>
      </c>
      <c r="H530" s="160" t="s">
        <v>1823</v>
      </c>
      <c r="I530" s="57" t="str">
        <f>IF('AML.07.03'!$G$11&lt;0, $G530 &amp; ": " &amp; $H530, "OK")</f>
        <v>OK</v>
      </c>
      <c r="J530" s="57" t="str">
        <f>IF(LEN(IF(VLOOKUP("AMLA_VR_AML.07.03_C0060_01",$A:$I,9,0)&lt;&gt;"OK",CHAR(10)&amp;VLOOKUP("AMLA_VR_AML.07.03_C0060_01",$A:$I,9,0),"")&amp;IF(VLOOKUP("AMLA_VR_AML.07.03_C0060_02",$A:$I,9,0)&lt;&gt;"OK",CHAR(10)&amp;VLOOKUP("AMLA_VR_AML.07.03_C0060_02",$A:$I,9,0),""))=0,"OK",MID(IF(VLOOKUP("AMLA_VR_AML.07.03_C0060_01",$A:$I,9,0)&lt;&gt;"OK",CHAR(10)&amp;VLOOKUP("AMLA_VR_AML.07.03_C0060_01",$A:$I,9,0),"")&amp;IF(VLOOKUP("AMLA_VR_AML.07.03_C0060_02",$A:$I,9,0)&lt;&gt;"OK",CHAR(10)&amp;VLOOKUP("AMLA_VR_AML.07.03_C0060_02",$A:$I,9,0),""),2,3000))</f>
        <v>OK</v>
      </c>
      <c r="K530" s="161" t="s">
        <v>1775</v>
      </c>
    </row>
    <row r="531" spans="1:11">
      <c r="A531" s="159" t="str">
        <f>"AMLA_VR_" &amp; B531 &amp; "_" &amp; C531 &amp; "_" &amp; TEXT(COUNTIFS($B$2:B531, B531, $C$2:C531, C531), "00")</f>
        <v>AMLA_VR_AML.07.03_C0060_02</v>
      </c>
      <c r="B531" s="157" t="s">
        <v>373</v>
      </c>
      <c r="C531" s="157" t="s">
        <v>86</v>
      </c>
      <c r="D531" s="157" t="s">
        <v>1554</v>
      </c>
      <c r="E531" s="160" t="str" cm="1">
        <f t="array" aca="1" ref="E531" ca="1">IF(C531="", INDIRECT("'"&amp;B531&amp;"'!B3"), INDEX(INDIRECT("'"&amp;B531&amp;"'!5:5"), COLUMN(INDIRECT("'"&amp;B531&amp;"'!"&amp;D531))))</f>
        <v>Customers - Medium-high Risk</v>
      </c>
      <c r="F531" s="157" t="s">
        <v>1776</v>
      </c>
      <c r="G531" s="157" t="s">
        <v>1773</v>
      </c>
      <c r="H531" s="157" t="s">
        <v>1816</v>
      </c>
      <c r="I531" s="171" t="str">
        <f>IF(TRIM(SUBSTITUTE('AML.07.03'!$G$11&amp;"",CHAR(160),""))="","OK",IF(OR(NOT(ISNUMBER('AML.07.03'!$G$11)),IFERROR(INT('AML.07.03'!$G$11)&lt;&gt;'AML.07.03'!$G$11,TRUE)),$G531&amp;": "&amp;$H531,"OK"))</f>
        <v>OK</v>
      </c>
      <c r="J531" s="171" t="str">
        <f>IF(LEN(IF(VLOOKUP("AMLA_VR_AML.07.03_C0060_01",$A:$I,9,0)&lt;&gt;"OK",CHAR(10)&amp;VLOOKUP("AMLA_VR_AML.07.03_C0060_01",$A:$I,9,0),"")&amp;IF(VLOOKUP("AMLA_VR_AML.07.03_C0060_02",$A:$I,9,0)&lt;&gt;"OK",CHAR(10)&amp;VLOOKUP("AMLA_VR_AML.07.03_C0060_02",$A:$I,9,0),""))=0,"OK",MID(IF(VLOOKUP("AMLA_VR_AML.07.03_C0060_01",$A:$I,9,0)&lt;&gt;"OK",CHAR(10)&amp;VLOOKUP("AMLA_VR_AML.07.03_C0060_01",$A:$I,9,0),"")&amp;IF(VLOOKUP("AMLA_VR_AML.07.03_C0060_02",$A:$I,9,0)&lt;&gt;"OK",CHAR(10)&amp;VLOOKUP("AMLA_VR_AML.07.03_C0060_02",$A:$I,9,0),""),2,3000))</f>
        <v>OK</v>
      </c>
      <c r="K531" s="158" t="s">
        <v>1775</v>
      </c>
    </row>
    <row r="532" spans="1:11">
      <c r="A532" s="159" t="str">
        <f>"AMLA_VR_" &amp; B532 &amp; "_" &amp; C532 &amp; "_" &amp; TEXT(COUNTIFS($B$2:B532, B532, $C$2:C532, C532), "00")</f>
        <v>AMLA_VR_AML.07.03_C0070_01</v>
      </c>
      <c r="B532" s="157" t="s">
        <v>373</v>
      </c>
      <c r="C532" s="157" t="s">
        <v>87</v>
      </c>
      <c r="D532" s="157" t="s">
        <v>1555</v>
      </c>
      <c r="E532" s="160" t="str" cm="1">
        <f t="array" aca="1" ref="E532" ca="1">IF(C532="", INDIRECT("'"&amp;B532&amp;"'!B3"), INDEX(INDIRECT("'"&amp;B532&amp;"'!5:5"), COLUMN(INDIRECT("'"&amp;B532&amp;"'!"&amp;D532))))</f>
        <v>Customers - High Risk</v>
      </c>
      <c r="F532" s="157" t="s">
        <v>1772</v>
      </c>
      <c r="G532" s="157" t="s">
        <v>1773</v>
      </c>
      <c r="H532" s="157" t="s">
        <v>1824</v>
      </c>
      <c r="I532" s="171" t="str">
        <f>IF('AML.07.03'!$H$11&lt;0, $G532 &amp; ": " &amp; $H532, "OK")</f>
        <v>OK</v>
      </c>
      <c r="J532" s="171" t="str">
        <f>IF(LEN(IF(VLOOKUP("AMLA_VR_AML.07.03_C0070_01",$A:$I,9,0)&lt;&gt;"OK",CHAR(10)&amp;VLOOKUP("AMLA_VR_AML.07.03_C0070_01",$A:$I,9,0),"")&amp;IF(VLOOKUP("AMLA_VR_AML.07.03_C0070_02",$A:$I,9,0)&lt;&gt;"OK",CHAR(10)&amp;VLOOKUP("AMLA_VR_AML.07.03_C0070_02",$A:$I,9,0),""))=0,"OK",MID(IF(VLOOKUP("AMLA_VR_AML.07.03_C0070_01",$A:$I,9,0)&lt;&gt;"OK",CHAR(10)&amp;VLOOKUP("AMLA_VR_AML.07.03_C0070_01",$A:$I,9,0),"")&amp;IF(VLOOKUP("AMLA_VR_AML.07.03_C0070_02",$A:$I,9,0)&lt;&gt;"OK",CHAR(10)&amp;VLOOKUP("AMLA_VR_AML.07.03_C0070_02",$A:$I,9,0),""),2,3000))</f>
        <v>OK</v>
      </c>
      <c r="K532" s="158" t="s">
        <v>1775</v>
      </c>
    </row>
    <row r="533" spans="1:11">
      <c r="A533" s="159" t="str">
        <f>"AMLA_VR_" &amp; B533 &amp; "_" &amp; C533 &amp; "_" &amp; TEXT(COUNTIFS($B$2:B533, B533, $C$2:C533, C533), "00")</f>
        <v>AMLA_VR_AML.07.03_C0070_02</v>
      </c>
      <c r="B533" s="160" t="s">
        <v>373</v>
      </c>
      <c r="C533" s="160" t="s">
        <v>87</v>
      </c>
      <c r="D533" s="160" t="s">
        <v>1555</v>
      </c>
      <c r="E533" s="160" t="str" cm="1">
        <f t="array" aca="1" ref="E533" ca="1">IF(C533="", INDIRECT("'"&amp;B533&amp;"'!B3"), INDEX(INDIRECT("'"&amp;B533&amp;"'!5:5"), COLUMN(INDIRECT("'"&amp;B533&amp;"'!"&amp;D533))))</f>
        <v>Customers - High Risk</v>
      </c>
      <c r="F533" s="160" t="s">
        <v>1776</v>
      </c>
      <c r="G533" s="160" t="s">
        <v>1773</v>
      </c>
      <c r="H533" s="160" t="s">
        <v>1816</v>
      </c>
      <c r="I533" s="57" t="str">
        <f>IF(TRIM(SUBSTITUTE('AML.07.03'!$H$11&amp;"",CHAR(160),""))="","OK",IF(OR(NOT(ISNUMBER('AML.07.03'!$H$11)),IFERROR(INT('AML.07.03'!$H$11)&lt;&gt;'AML.07.03'!$H$11,TRUE)),$G533&amp;": "&amp;$H533,"OK"))</f>
        <v>OK</v>
      </c>
      <c r="J533" s="57" t="str">
        <f>IF(LEN(IF(VLOOKUP("AMLA_VR_AML.07.03_C0070_01",$A:$I,9,0)&lt;&gt;"OK",CHAR(10)&amp;VLOOKUP("AMLA_VR_AML.07.03_C0070_01",$A:$I,9,0),"")&amp;IF(VLOOKUP("AMLA_VR_AML.07.03_C0070_02",$A:$I,9,0)&lt;&gt;"OK",CHAR(10)&amp;VLOOKUP("AMLA_VR_AML.07.03_C0070_02",$A:$I,9,0),""))=0,"OK",MID(IF(VLOOKUP("AMLA_VR_AML.07.03_C0070_01",$A:$I,9,0)&lt;&gt;"OK",CHAR(10)&amp;VLOOKUP("AMLA_VR_AML.07.03_C0070_01",$A:$I,9,0),"")&amp;IF(VLOOKUP("AMLA_VR_AML.07.03_C0070_02",$A:$I,9,0)&lt;&gt;"OK",CHAR(10)&amp;VLOOKUP("AMLA_VR_AML.07.03_C0070_02",$A:$I,9,0),""),2,3000))</f>
        <v>OK</v>
      </c>
      <c r="K533" s="161" t="s">
        <v>1775</v>
      </c>
    </row>
    <row r="534" spans="1:11">
      <c r="A534" s="159" t="str">
        <f>"AMLA_VR_" &amp; B534 &amp; "_" &amp; C534 &amp; "_" &amp; TEXT(COUNTIFS($B$2:B534, B534, $C$2:C534, C534), "00")</f>
        <v>AMLA_VR_AML.07.04_C0010_01</v>
      </c>
      <c r="B534" s="160" t="s">
        <v>384</v>
      </c>
      <c r="C534" s="160" t="s">
        <v>81</v>
      </c>
      <c r="D534" s="160" t="s">
        <v>1549</v>
      </c>
      <c r="E534" s="160" t="str" cm="1">
        <f t="array" aca="1" ref="E534" ca="1">IF(C534="", INDIRECT("'"&amp;B534&amp;"'!B3"), INDEX(INDIRECT("'"&amp;B534&amp;"'!5:5"), COLUMN(INDIRECT("'"&amp;B534&amp;"'!"&amp;D534))))</f>
        <v>Customers – LE/Trusts with BO Not Identified</v>
      </c>
      <c r="F534" s="160" t="s">
        <v>1772</v>
      </c>
      <c r="G534" s="160" t="s">
        <v>1773</v>
      </c>
      <c r="H534" s="160" t="s">
        <v>1815</v>
      </c>
      <c r="I534" s="57" t="str">
        <f>IF('AML.07.04'!$B$11&lt;0, $G534 &amp; ": " &amp; $H534, "OK")</f>
        <v>OK</v>
      </c>
      <c r="J534" s="57" t="str">
        <f>IF(LEN(IF(VLOOKUP("AMLA_VR_AML.07.04_C0010_01",$A:$I,9,0)&lt;&gt;"OK",CHAR(10)&amp;VLOOKUP("AMLA_VR_AML.07.04_C0010_01",$A:$I,9,0),"")&amp;IF(VLOOKUP("AMLA_VR_AML.07.04_C0010_02",$A:$I,9,0)&lt;&gt;"OK",CHAR(10)&amp;VLOOKUP("AMLA_VR_AML.07.04_C0010_02",$A:$I,9,0),""))=0,"OK",MID(IF(VLOOKUP("AMLA_VR_AML.07.04_C0010_01",$A:$I,9,0)&lt;&gt;"OK",CHAR(10)&amp;VLOOKUP("AMLA_VR_AML.07.04_C0010_01",$A:$I,9,0),"")&amp;IF(VLOOKUP("AMLA_VR_AML.07.04_C0010_02",$A:$I,9,0)&lt;&gt;"OK",CHAR(10)&amp;VLOOKUP("AMLA_VR_AML.07.04_C0010_02",$A:$I,9,0),""),2,3000))</f>
        <v>OK</v>
      </c>
      <c r="K534" s="161" t="s">
        <v>1775</v>
      </c>
    </row>
    <row r="535" spans="1:11">
      <c r="A535" s="159" t="str">
        <f>"AMLA_VR_" &amp; B535 &amp; "_" &amp; C535 &amp; "_" &amp; TEXT(COUNTIFS($B$2:B535, B535, $C$2:C535, C535), "00")</f>
        <v>AMLA_VR_AML.07.04_C0010_02</v>
      </c>
      <c r="B535" s="157" t="s">
        <v>384</v>
      </c>
      <c r="C535" s="157" t="s">
        <v>81</v>
      </c>
      <c r="D535" s="157" t="s">
        <v>1549</v>
      </c>
      <c r="E535" s="160" t="str" cm="1">
        <f t="array" aca="1" ref="E535" ca="1">IF(C535="", INDIRECT("'"&amp;B535&amp;"'!B3"), INDEX(INDIRECT("'"&amp;B535&amp;"'!5:5"), COLUMN(INDIRECT("'"&amp;B535&amp;"'!"&amp;D535))))</f>
        <v>Customers – LE/Trusts with BO Not Identified</v>
      </c>
      <c r="F535" s="157" t="s">
        <v>1776</v>
      </c>
      <c r="G535" s="157" t="s">
        <v>1773</v>
      </c>
      <c r="H535" s="157" t="s">
        <v>1816</v>
      </c>
      <c r="I535" s="171" t="str">
        <f>IF(TRIM(SUBSTITUTE('AML.07.04'!$B$11&amp;"",CHAR(160),""))="","OK",IF(OR(NOT(ISNUMBER('AML.07.04'!$B$11)),IFERROR(INT('AML.07.04'!$B$11)&lt;&gt;'AML.07.04'!$B$11,TRUE)),$G535&amp;": "&amp;$H535,"OK"))</f>
        <v>OK</v>
      </c>
      <c r="J535" s="171" t="str">
        <f>IF(LEN(IF(VLOOKUP("AMLA_VR_AML.07.04_C0010_01",$A:$I,9,0)&lt;&gt;"OK",CHAR(10)&amp;VLOOKUP("AMLA_VR_AML.07.04_C0010_01",$A:$I,9,0),"")&amp;IF(VLOOKUP("AMLA_VR_AML.07.04_C0010_02",$A:$I,9,0)&lt;&gt;"OK",CHAR(10)&amp;VLOOKUP("AMLA_VR_AML.07.04_C0010_02",$A:$I,9,0),""))=0,"OK",MID(IF(VLOOKUP("AMLA_VR_AML.07.04_C0010_01",$A:$I,9,0)&lt;&gt;"OK",CHAR(10)&amp;VLOOKUP("AMLA_VR_AML.07.04_C0010_01",$A:$I,9,0),"")&amp;IF(VLOOKUP("AMLA_VR_AML.07.04_C0010_02",$A:$I,9,0)&lt;&gt;"OK",CHAR(10)&amp;VLOOKUP("AMLA_VR_AML.07.04_C0010_02",$A:$I,9,0),""),2,3000))</f>
        <v>OK</v>
      </c>
      <c r="K535" s="158" t="s">
        <v>1775</v>
      </c>
    </row>
    <row r="536" spans="1:11">
      <c r="A536" s="159" t="str">
        <f>"AMLA_VR_" &amp; B536 &amp; "_" &amp; C536 &amp; "_" &amp; TEXT(COUNTIFS($B$2:B536, B536, $C$2:C536, C536), "00")</f>
        <v>AMLA_VR_AML.07.04_C0020_01</v>
      </c>
      <c r="B536" s="157" t="s">
        <v>384</v>
      </c>
      <c r="C536" s="157" t="s">
        <v>82</v>
      </c>
      <c r="D536" s="157" t="s">
        <v>1550</v>
      </c>
      <c r="E536" s="160" t="str" cm="1">
        <f t="array" aca="1" ref="E536" ca="1">IF(C536="", INDIRECT("'"&amp;B536&amp;"'!B3"), INDEX(INDIRECT("'"&amp;B536&amp;"'!5:5"), COLUMN(INDIRECT("'"&amp;B536&amp;"'!"&amp;D536))))</f>
        <v>Customers – LE/Trusts With BO Identified Not Verified</v>
      </c>
      <c r="F536" s="157" t="s">
        <v>1772</v>
      </c>
      <c r="G536" s="157" t="s">
        <v>1773</v>
      </c>
      <c r="H536" s="157" t="s">
        <v>1819</v>
      </c>
      <c r="I536" s="157" t="str">
        <f>IF('AML.07.04'!$C$11&lt;0, $G536 &amp; ": " &amp; $H536, "OK")</f>
        <v>OK</v>
      </c>
      <c r="J536" s="171" t="str">
        <f>IF(LEN(IF(VLOOKUP("AMLA_VR_AML.07.04_C0020_01",$A:$I,9,0)&lt;&gt;"OK",CHAR(10)&amp;VLOOKUP("AMLA_VR_AML.07.04_C0020_01",$A:$I,9,0),"")&amp;IF(VLOOKUP("AMLA_VR_AML.07.04_C0020_02",$A:$I,9,0)&lt;&gt;"OK",CHAR(10)&amp;VLOOKUP("AMLA_VR_AML.07.04_C0020_02",$A:$I,9,0),""))=0,"OK",MID(IF(VLOOKUP("AMLA_VR_AML.07.04_C0020_01",$A:$I,9,0)&lt;&gt;"OK",CHAR(10)&amp;VLOOKUP("AMLA_VR_AML.07.04_C0020_01",$A:$I,9,0),"")&amp;IF(VLOOKUP("AMLA_VR_AML.07.04_C0020_02",$A:$I,9,0)&lt;&gt;"OK",CHAR(10)&amp;VLOOKUP("AMLA_VR_AML.07.04_C0020_02",$A:$I,9,0),""),2,3000))</f>
        <v>OK</v>
      </c>
      <c r="K536" s="158" t="s">
        <v>1775</v>
      </c>
    </row>
    <row r="537" spans="1:11">
      <c r="A537" s="159" t="str">
        <f>"AMLA_VR_" &amp; B537 &amp; "_" &amp; C537 &amp; "_" &amp; TEXT(COUNTIFS($B$2:B537, B537, $C$2:C537, C537), "00")</f>
        <v>AMLA_VR_AML.07.04_C0020_02</v>
      </c>
      <c r="B537" s="160" t="s">
        <v>384</v>
      </c>
      <c r="C537" s="160" t="s">
        <v>82</v>
      </c>
      <c r="D537" s="160" t="s">
        <v>1550</v>
      </c>
      <c r="E537" s="160" t="str" cm="1">
        <f t="array" aca="1" ref="E537" ca="1">IF(C537="", INDIRECT("'"&amp;B537&amp;"'!B3"), INDEX(INDIRECT("'"&amp;B537&amp;"'!5:5"), COLUMN(INDIRECT("'"&amp;B537&amp;"'!"&amp;D537))))</f>
        <v>Customers – LE/Trusts With BO Identified Not Verified</v>
      </c>
      <c r="F537" s="160" t="s">
        <v>1776</v>
      </c>
      <c r="G537" s="160" t="s">
        <v>1773</v>
      </c>
      <c r="H537" s="160" t="s">
        <v>1816</v>
      </c>
      <c r="I537" s="160" t="str">
        <f>IF(TRIM(SUBSTITUTE('AML.07.04'!$C$11&amp;"",CHAR(160),""))="","OK",IF(OR(NOT(ISNUMBER('AML.07.04'!$C$11)),IFERROR(INT('AML.07.04'!$C$11)&lt;&gt;'AML.07.04'!$C$11,TRUE)),$G537&amp;": "&amp;$H537,"OK"))</f>
        <v>OK</v>
      </c>
      <c r="J537" s="57" t="str">
        <f>IF(LEN(IF(VLOOKUP("AMLA_VR_AML.07.04_C0020_01",$A:$I,9,0)&lt;&gt;"OK",CHAR(10)&amp;VLOOKUP("AMLA_VR_AML.07.04_C0020_01",$A:$I,9,0),"")&amp;IF(VLOOKUP("AMLA_VR_AML.07.04_C0020_02",$A:$I,9,0)&lt;&gt;"OK",CHAR(10)&amp;VLOOKUP("AMLA_VR_AML.07.04_C0020_02",$A:$I,9,0),""))=0,"OK",MID(IF(VLOOKUP("AMLA_VR_AML.07.04_C0020_01",$A:$I,9,0)&lt;&gt;"OK",CHAR(10)&amp;VLOOKUP("AMLA_VR_AML.07.04_C0020_01",$A:$I,9,0),"")&amp;IF(VLOOKUP("AMLA_VR_AML.07.04_C0020_02",$A:$I,9,0)&lt;&gt;"OK",CHAR(10)&amp;VLOOKUP("AMLA_VR_AML.07.04_C0020_02",$A:$I,9,0),""),2,3000))</f>
        <v>OK</v>
      </c>
      <c r="K537" s="161" t="s">
        <v>1775</v>
      </c>
    </row>
    <row r="538" spans="1:11">
      <c r="A538" s="159" t="str">
        <f>"AMLA_VR_" &amp; B538 &amp; "_" &amp; C538 &amp; "_" &amp; TEXT(COUNTIFS($B$2:B538, B538, $C$2:C538, C538), "00")</f>
        <v>AMLA_VR_AML.07.04_C0030_01</v>
      </c>
      <c r="B538" s="160" t="s">
        <v>384</v>
      </c>
      <c r="C538" s="160" t="s">
        <v>83</v>
      </c>
      <c r="D538" s="160" t="s">
        <v>1551</v>
      </c>
      <c r="E538" s="160" t="str" cm="1">
        <f t="array" aca="1" ref="E538" ca="1">IF(C538="", INDIRECT("'"&amp;B538&amp;"'!B3"), INDEX(INDIRECT("'"&amp;B538&amp;"'!5:5"), COLUMN(INDIRECT("'"&amp;B538&amp;"'!"&amp;D538))))</f>
        <v>Customers – Missing ID/Verification Documentation</v>
      </c>
      <c r="F538" s="160" t="s">
        <v>1772</v>
      </c>
      <c r="G538" s="160" t="s">
        <v>1773</v>
      </c>
      <c r="H538" s="160" t="s">
        <v>1820</v>
      </c>
      <c r="I538" s="160" t="str">
        <f>IF('AML.07.04'!$D$11&lt;0, $G538 &amp; ": " &amp; $H538, "OK")</f>
        <v>OK</v>
      </c>
      <c r="J538" s="57" t="str">
        <f>IF(LEN(IF(VLOOKUP("AMLA_VR_AML.07.04_C0030_01",$A:$I,9,0)&lt;&gt;"OK",CHAR(10)&amp;VLOOKUP("AMLA_VR_AML.07.04_C0030_01",$A:$I,9,0),"")&amp;IF(VLOOKUP("AMLA_VR_AML.07.04_C0030_02",$A:$I,9,0)&lt;&gt;"OK",CHAR(10)&amp;VLOOKUP("AMLA_VR_AML.07.04_C0030_02",$A:$I,9,0),""))=0,"OK",MID(IF(VLOOKUP("AMLA_VR_AML.07.04_C0030_01",$A:$I,9,0)&lt;&gt;"OK",CHAR(10)&amp;VLOOKUP("AMLA_VR_AML.07.04_C0030_01",$A:$I,9,0),"")&amp;IF(VLOOKUP("AMLA_VR_AML.07.04_C0030_02",$A:$I,9,0)&lt;&gt;"OK",CHAR(10)&amp;VLOOKUP("AMLA_VR_AML.07.04_C0030_02",$A:$I,9,0),""),2,3000))</f>
        <v>OK</v>
      </c>
      <c r="K538" s="161" t="s">
        <v>1775</v>
      </c>
    </row>
    <row r="539" spans="1:11">
      <c r="A539" s="159" t="str">
        <f>"AMLA_VR_" &amp; B539 &amp; "_" &amp; C539 &amp; "_" &amp; TEXT(COUNTIFS($B$2:B539, B539, $C$2:C539, C539), "00")</f>
        <v>AMLA_VR_AML.07.04_C0030_02</v>
      </c>
      <c r="B539" s="157" t="s">
        <v>384</v>
      </c>
      <c r="C539" s="157" t="s">
        <v>83</v>
      </c>
      <c r="D539" s="157" t="s">
        <v>1551</v>
      </c>
      <c r="E539" s="160" t="str" cm="1">
        <f t="array" aca="1" ref="E539" ca="1">IF(C539="", INDIRECT("'"&amp;B539&amp;"'!B3"), INDEX(INDIRECT("'"&amp;B539&amp;"'!5:5"), COLUMN(INDIRECT("'"&amp;B539&amp;"'!"&amp;D539))))</f>
        <v>Customers – Missing ID/Verification Documentation</v>
      </c>
      <c r="F539" s="157" t="s">
        <v>1776</v>
      </c>
      <c r="G539" s="157" t="s">
        <v>1773</v>
      </c>
      <c r="H539" s="157" t="s">
        <v>1816</v>
      </c>
      <c r="I539" s="157" t="str">
        <f>IF(TRIM(SUBSTITUTE('AML.07.04'!$D$11&amp;"",CHAR(160),""))="","OK",IF(OR(NOT(ISNUMBER('AML.07.04'!$D$11)),IFERROR(INT('AML.07.04'!$D$11)&lt;&gt;'AML.07.04'!$D$11,TRUE)),$G539&amp;": "&amp;$H539,"OK"))</f>
        <v>OK</v>
      </c>
      <c r="J539" s="171" t="str">
        <f>IF(LEN(IF(VLOOKUP("AMLA_VR_AML.07.04_C0030_01",$A:$I,9,0)&lt;&gt;"OK",CHAR(10)&amp;VLOOKUP("AMLA_VR_AML.07.04_C0030_01",$A:$I,9,0),"")&amp;IF(VLOOKUP("AMLA_VR_AML.07.04_C0030_02",$A:$I,9,0)&lt;&gt;"OK",CHAR(10)&amp;VLOOKUP("AMLA_VR_AML.07.04_C0030_02",$A:$I,9,0),""))=0,"OK",MID(IF(VLOOKUP("AMLA_VR_AML.07.04_C0030_01",$A:$I,9,0)&lt;&gt;"OK",CHAR(10)&amp;VLOOKUP("AMLA_VR_AML.07.04_C0030_01",$A:$I,9,0),"")&amp;IF(VLOOKUP("AMLA_VR_AML.07.04_C0030_02",$A:$I,9,0)&lt;&gt;"OK",CHAR(10)&amp;VLOOKUP("AMLA_VR_AML.07.04_C0030_02",$A:$I,9,0),""),2,3000))</f>
        <v>OK</v>
      </c>
      <c r="K539" s="158" t="s">
        <v>1775</v>
      </c>
    </row>
    <row r="540" spans="1:11">
      <c r="A540" s="159" t="str">
        <f>"AMLA_VR_" &amp; B540 &amp; "_" &amp; C540 &amp; "_" &amp; TEXT(COUNTIFS($B$2:B540, B540, $C$2:C540, C540), "00")</f>
        <v>AMLA_VR_AML.07.04_C0040_01</v>
      </c>
      <c r="B540" s="157" t="s">
        <v>384</v>
      </c>
      <c r="C540" s="157" t="s">
        <v>84</v>
      </c>
      <c r="D540" s="157" t="s">
        <v>1552</v>
      </c>
      <c r="E540" s="160" t="str" cm="1">
        <f t="array" aca="1" ref="E540" ca="1">IF(C540="", INDIRECT("'"&amp;B540&amp;"'!B3"), INDEX(INDIRECT("'"&amp;B540&amp;"'!5:5"), COLUMN(INDIRECT("'"&amp;B540&amp;"'!"&amp;D540))))</f>
        <v>Customers – CDD Not Compliant with Article 20 AMLR</v>
      </c>
      <c r="F540" s="157" t="s">
        <v>1772</v>
      </c>
      <c r="G540" s="157" t="s">
        <v>1773</v>
      </c>
      <c r="H540" s="157" t="s">
        <v>1821</v>
      </c>
      <c r="I540" s="157" t="str">
        <f>IF('AML.07.04'!$E$11&lt;0, $G540 &amp; ": " &amp; $H540, "OK")</f>
        <v>OK</v>
      </c>
      <c r="J540" s="171" t="str">
        <f>IF(LEN(IF(VLOOKUP("AMLA_VR_AML.07.04_C0040_01",$A:$I,9,0)&lt;&gt;"OK",CHAR(10)&amp;VLOOKUP("AMLA_VR_AML.07.04_C0040_01",$A:$I,9,0),"")&amp;IF(VLOOKUP("AMLA_VR_AML.07.04_C0040_02",$A:$I,9,0)&lt;&gt;"OK",CHAR(10)&amp;VLOOKUP("AMLA_VR_AML.07.04_C0040_02",$A:$I,9,0),""))=0,"OK",MID(IF(VLOOKUP("AMLA_VR_AML.07.04_C0040_01",$A:$I,9,0)&lt;&gt;"OK",CHAR(10)&amp;VLOOKUP("AMLA_VR_AML.07.04_C0040_01",$A:$I,9,0),"")&amp;IF(VLOOKUP("AMLA_VR_AML.07.04_C0040_02",$A:$I,9,0)&lt;&gt;"OK",CHAR(10)&amp;VLOOKUP("AMLA_VR_AML.07.04_C0040_02",$A:$I,9,0),""),2,3000))</f>
        <v>OK</v>
      </c>
      <c r="K540" s="158" t="s">
        <v>1775</v>
      </c>
    </row>
    <row r="541" spans="1:11">
      <c r="A541" s="159" t="str">
        <f>"AMLA_VR_" &amp; B541 &amp; "_" &amp; C541 &amp; "_" &amp; TEXT(COUNTIFS($B$2:B541, B541, $C$2:C541, C541), "00")</f>
        <v>AMLA_VR_AML.07.04_C0040_02</v>
      </c>
      <c r="B541" s="160" t="s">
        <v>384</v>
      </c>
      <c r="C541" s="160" t="s">
        <v>84</v>
      </c>
      <c r="D541" s="160" t="s">
        <v>1552</v>
      </c>
      <c r="E541" s="160" t="str" cm="1">
        <f t="array" aca="1" ref="E541" ca="1">IF(C541="", INDIRECT("'"&amp;B541&amp;"'!B3"), INDEX(INDIRECT("'"&amp;B541&amp;"'!5:5"), COLUMN(INDIRECT("'"&amp;B541&amp;"'!"&amp;D541))))</f>
        <v>Customers – CDD Not Compliant with Article 20 AMLR</v>
      </c>
      <c r="F541" s="160" t="s">
        <v>1776</v>
      </c>
      <c r="G541" s="160" t="s">
        <v>1773</v>
      </c>
      <c r="H541" s="160" t="s">
        <v>1816</v>
      </c>
      <c r="I541" s="160" t="str">
        <f>IF(TRIM(SUBSTITUTE('AML.07.04'!$E$11&amp;"",CHAR(160),""))="","OK",IF(OR(NOT(ISNUMBER('AML.07.04'!$E$11)),IFERROR(INT('AML.07.04'!$E$11)&lt;&gt;'AML.07.04'!$E$11,TRUE)),$G541&amp;": "&amp;$H541,"OK"))</f>
        <v>OK</v>
      </c>
      <c r="J541" s="57" t="str">
        <f>IF(LEN(IF(VLOOKUP("AMLA_VR_AML.07.04_C0040_01",$A:$I,9,0)&lt;&gt;"OK",CHAR(10)&amp;VLOOKUP("AMLA_VR_AML.07.04_C0040_01",$A:$I,9,0),"")&amp;IF(VLOOKUP("AMLA_VR_AML.07.04_C0040_02",$A:$I,9,0)&lt;&gt;"OK",CHAR(10)&amp;VLOOKUP("AMLA_VR_AML.07.04_C0040_02",$A:$I,9,0),""))=0,"OK",MID(IF(VLOOKUP("AMLA_VR_AML.07.04_C0040_01",$A:$I,9,0)&lt;&gt;"OK",CHAR(10)&amp;VLOOKUP("AMLA_VR_AML.07.04_C0040_01",$A:$I,9,0),"")&amp;IF(VLOOKUP("AMLA_VR_AML.07.04_C0040_02",$A:$I,9,0)&lt;&gt;"OK",CHAR(10)&amp;VLOOKUP("AMLA_VR_AML.07.04_C0040_02",$A:$I,9,0),""),2,3000))</f>
        <v>OK</v>
      </c>
      <c r="K541" s="161" t="s">
        <v>1775</v>
      </c>
    </row>
    <row r="542" spans="1:11">
      <c r="A542" s="159" t="str">
        <f>"AMLA_VR_" &amp; B542 &amp; "_" &amp; C542 &amp; "_" &amp; TEXT(COUNTIFS($B$2:B542, B542, $C$2:C542, C542), "00")</f>
        <v>AMLA_VR_AML.07.04_C0050_01</v>
      </c>
      <c r="B542" s="160" t="s">
        <v>384</v>
      </c>
      <c r="C542" s="160" t="s">
        <v>85</v>
      </c>
      <c r="D542" s="160" t="s">
        <v>1553</v>
      </c>
      <c r="E542" s="160" t="str" cm="1">
        <f t="array" aca="1" ref="E542" ca="1">IF(C542="", INDIRECT("'"&amp;B542&amp;"'!B3"), INDEX(INDIRECT("'"&amp;B542&amp;"'!5:5"), COLUMN(INDIRECT("'"&amp;B542&amp;"'!"&amp;D542))))</f>
        <v>Customers – Without ML/TF Risk Profile</v>
      </c>
      <c r="F542" s="160" t="s">
        <v>1772</v>
      </c>
      <c r="G542" s="160" t="s">
        <v>1773</v>
      </c>
      <c r="H542" s="160" t="s">
        <v>1822</v>
      </c>
      <c r="I542" s="160" t="str">
        <f>IF('AML.07.04'!$F$11&lt;0, $G542 &amp; ": " &amp; $H542, "OK")</f>
        <v>OK</v>
      </c>
      <c r="J542" s="57" t="str">
        <f>IF(LEN(IF(VLOOKUP("AMLA_VR_AML.07.04_C0050_01",$A:$I,9,0)&lt;&gt;"OK",CHAR(10)&amp;VLOOKUP("AMLA_VR_AML.07.04_C0050_01",$A:$I,9,0),"")&amp;IF(VLOOKUP("AMLA_VR_AML.07.04_C0050_02",$A:$I,9,0)&lt;&gt;"OK",CHAR(10)&amp;VLOOKUP("AMLA_VR_AML.07.04_C0050_02",$A:$I,9,0),""))=0,"OK",MID(IF(VLOOKUP("AMLA_VR_AML.07.04_C0050_01",$A:$I,9,0)&lt;&gt;"OK",CHAR(10)&amp;VLOOKUP("AMLA_VR_AML.07.04_C0050_01",$A:$I,9,0),"")&amp;IF(VLOOKUP("AMLA_VR_AML.07.04_C0050_02",$A:$I,9,0)&lt;&gt;"OK",CHAR(10)&amp;VLOOKUP("AMLA_VR_AML.07.04_C0050_02",$A:$I,9,0),""),2,3000))</f>
        <v>OK</v>
      </c>
      <c r="K542" s="161" t="s">
        <v>1775</v>
      </c>
    </row>
    <row r="543" spans="1:11">
      <c r="A543" s="159" t="str">
        <f>"AMLA_VR_" &amp; B543 &amp; "_" &amp; C543 &amp; "_" &amp; TEXT(COUNTIFS($B$2:B543, B543, $C$2:C543, C543), "00")</f>
        <v>AMLA_VR_AML.07.04_C0050_02</v>
      </c>
      <c r="B543" s="157" t="s">
        <v>384</v>
      </c>
      <c r="C543" s="157" t="s">
        <v>85</v>
      </c>
      <c r="D543" s="157" t="s">
        <v>1553</v>
      </c>
      <c r="E543" s="160" t="str" cm="1">
        <f t="array" aca="1" ref="E543" ca="1">IF(C543="", INDIRECT("'"&amp;B543&amp;"'!B3"), INDEX(INDIRECT("'"&amp;B543&amp;"'!5:5"), COLUMN(INDIRECT("'"&amp;B543&amp;"'!"&amp;D543))))</f>
        <v>Customers – Without ML/TF Risk Profile</v>
      </c>
      <c r="F543" s="157" t="s">
        <v>1776</v>
      </c>
      <c r="G543" s="157" t="s">
        <v>1773</v>
      </c>
      <c r="H543" s="157" t="s">
        <v>1816</v>
      </c>
      <c r="I543" s="157" t="str">
        <f>IF(TRIM(SUBSTITUTE('AML.07.04'!$F$11&amp;"",CHAR(160),""))="","OK",IF(OR(NOT(ISNUMBER('AML.07.04'!$F$11)),IFERROR(INT('AML.07.04'!$F$11)&lt;&gt;'AML.07.04'!$F$11,TRUE)),$G543&amp;": "&amp;$H543,"OK"))</f>
        <v>OK</v>
      </c>
      <c r="J543" s="171" t="str">
        <f>IF(LEN(IF(VLOOKUP("AMLA_VR_AML.07.04_C0050_01",$A:$I,9,0)&lt;&gt;"OK",CHAR(10)&amp;VLOOKUP("AMLA_VR_AML.07.04_C0050_01",$A:$I,9,0),"")&amp;IF(VLOOKUP("AMLA_VR_AML.07.04_C0050_02",$A:$I,9,0)&lt;&gt;"OK",CHAR(10)&amp;VLOOKUP("AMLA_VR_AML.07.04_C0050_02",$A:$I,9,0),""))=0,"OK",MID(IF(VLOOKUP("AMLA_VR_AML.07.04_C0050_01",$A:$I,9,0)&lt;&gt;"OK",CHAR(10)&amp;VLOOKUP("AMLA_VR_AML.07.04_C0050_01",$A:$I,9,0),"")&amp;IF(VLOOKUP("AMLA_VR_AML.07.04_C0050_02",$A:$I,9,0)&lt;&gt;"OK",CHAR(10)&amp;VLOOKUP("AMLA_VR_AML.07.04_C0050_02",$A:$I,9,0),""),2,3000))</f>
        <v>OK</v>
      </c>
      <c r="K543" s="158" t="s">
        <v>1775</v>
      </c>
    </row>
    <row r="544" spans="1:11">
      <c r="A544" s="159" t="str">
        <f>"AMLA_VR_" &amp; B544 &amp; "_" &amp; C544 &amp; "_" &amp; TEXT(COUNTIFS($B$2:B544, B544, $C$2:C544, C544), "00")</f>
        <v>AMLA_VR_AML.07.04_C0060_01</v>
      </c>
      <c r="B544" s="157" t="s">
        <v>384</v>
      </c>
      <c r="C544" s="157" t="s">
        <v>86</v>
      </c>
      <c r="D544" s="157" t="s">
        <v>1554</v>
      </c>
      <c r="E544" s="160" t="str" cm="1">
        <f t="array" aca="1" ref="E544" ca="1">IF(C544="", INDIRECT("'"&amp;B544&amp;"'!B3"), INDEX(INDIRECT("'"&amp;B544&amp;"'!5:5"), COLUMN(INDIRECT("'"&amp;B544&amp;"'!"&amp;D544))))</f>
        <v>Customers – Information Reviews Due</v>
      </c>
      <c r="F544" s="157" t="s">
        <v>1772</v>
      </c>
      <c r="G544" s="157" t="s">
        <v>1773</v>
      </c>
      <c r="H544" s="157" t="s">
        <v>1823</v>
      </c>
      <c r="I544" s="157" t="str">
        <f>IF('AML.07.04'!$G$11&lt;0, $G544 &amp; ": " &amp; $H544, "OK")</f>
        <v>OK</v>
      </c>
      <c r="J544" s="171" t="str">
        <f>IF(LEN(IF(VLOOKUP("AMLA_VR_AML.07.04_C0060_01",$A:$I,9,0)&lt;&gt;"OK",CHAR(10)&amp;VLOOKUP("AMLA_VR_AML.07.04_C0060_01",$A:$I,9,0),"")&amp;IF(VLOOKUP("AMLA_VR_AML.07.04_C0060_02",$A:$I,9,0)&lt;&gt;"OK",CHAR(10)&amp;VLOOKUP("AMLA_VR_AML.07.04_C0060_02",$A:$I,9,0),""))=0,"OK",MID(IF(VLOOKUP("AMLA_VR_AML.07.04_C0060_01",$A:$I,9,0)&lt;&gt;"OK",CHAR(10)&amp;VLOOKUP("AMLA_VR_AML.07.04_C0060_01",$A:$I,9,0),"")&amp;IF(VLOOKUP("AMLA_VR_AML.07.04_C0060_02",$A:$I,9,0)&lt;&gt;"OK",CHAR(10)&amp;VLOOKUP("AMLA_VR_AML.07.04_C0060_02",$A:$I,9,0),""),2,3000))</f>
        <v>OK</v>
      </c>
      <c r="K544" s="158" t="s">
        <v>1775</v>
      </c>
    </row>
    <row r="545" spans="1:11">
      <c r="A545" s="159" t="str">
        <f>"AMLA_VR_" &amp; B545 &amp; "_" &amp; C545 &amp; "_" &amp; TEXT(COUNTIFS($B$2:B545, B545, $C$2:C545, C545), "00")</f>
        <v>AMLA_VR_AML.07.04_C0060_02</v>
      </c>
      <c r="B545" s="160" t="s">
        <v>384</v>
      </c>
      <c r="C545" s="160" t="s">
        <v>86</v>
      </c>
      <c r="D545" s="160" t="s">
        <v>1554</v>
      </c>
      <c r="E545" s="160" t="str" cm="1">
        <f t="array" aca="1" ref="E545" ca="1">IF(C545="", INDIRECT("'"&amp;B545&amp;"'!B3"), INDEX(INDIRECT("'"&amp;B545&amp;"'!5:5"), COLUMN(INDIRECT("'"&amp;B545&amp;"'!"&amp;D545))))</f>
        <v>Customers – Information Reviews Due</v>
      </c>
      <c r="F545" s="160" t="s">
        <v>1776</v>
      </c>
      <c r="G545" s="160" t="s">
        <v>1773</v>
      </c>
      <c r="H545" s="160" t="s">
        <v>1816</v>
      </c>
      <c r="I545" s="160" t="str">
        <f>IF(TRIM(SUBSTITUTE('AML.07.04'!$G$11&amp;"",CHAR(160),""))="","OK",IF(OR(NOT(ISNUMBER('AML.07.04'!$G$11)),IFERROR(INT('AML.07.04'!$G$11)&lt;&gt;'AML.07.04'!$G$11,TRUE)),$G545&amp;": "&amp;$H545,"OK"))</f>
        <v>OK</v>
      </c>
      <c r="J545" s="57" t="str">
        <f>IF(LEN(IF(VLOOKUP("AMLA_VR_AML.07.04_C0060_01",$A:$I,9,0)&lt;&gt;"OK",CHAR(10)&amp;VLOOKUP("AMLA_VR_AML.07.04_C0060_01",$A:$I,9,0),"")&amp;IF(VLOOKUP("AMLA_VR_AML.07.04_C0060_02",$A:$I,9,0)&lt;&gt;"OK",CHAR(10)&amp;VLOOKUP("AMLA_VR_AML.07.04_C0060_02",$A:$I,9,0),""))=0,"OK",MID(IF(VLOOKUP("AMLA_VR_AML.07.04_C0060_01",$A:$I,9,0)&lt;&gt;"OK",CHAR(10)&amp;VLOOKUP("AMLA_VR_AML.07.04_C0060_01",$A:$I,9,0),"")&amp;IF(VLOOKUP("AMLA_VR_AML.07.04_C0060_02",$A:$I,9,0)&lt;&gt;"OK",CHAR(10)&amp;VLOOKUP("AMLA_VR_AML.07.04_C0060_02",$A:$I,9,0),""),2,3000))</f>
        <v>OK</v>
      </c>
      <c r="K545" s="161" t="s">
        <v>1775</v>
      </c>
    </row>
    <row r="546" spans="1:11">
      <c r="A546" s="159" t="str">
        <f>"AMLA_VR_" &amp; B546 &amp; "_" &amp; C546 &amp; "_" &amp; TEXT(COUNTIFS($B$2:B546, B546, $C$2:C546, C546), "00")</f>
        <v>AMLA_VR_AML.07.04_C0070_01</v>
      </c>
      <c r="B546" s="160" t="s">
        <v>384</v>
      </c>
      <c r="C546" s="160" t="s">
        <v>87</v>
      </c>
      <c r="D546" s="160" t="s">
        <v>1555</v>
      </c>
      <c r="E546" s="160" t="str" cm="1">
        <f t="array" aca="1" ref="E546" ca="1">IF(C546="", INDIRECT("'"&amp;B546&amp;"'!B3"), INDEX(INDIRECT("'"&amp;B546&amp;"'!5:5"), COLUMN(INDIRECT("'"&amp;B546&amp;"'!"&amp;D546))))</f>
        <v>Customers – Information Updates Completed</v>
      </c>
      <c r="F546" s="160" t="s">
        <v>1772</v>
      </c>
      <c r="G546" s="160" t="s">
        <v>1773</v>
      </c>
      <c r="H546" s="160" t="s">
        <v>1824</v>
      </c>
      <c r="I546" s="160" t="str">
        <f>IF('AML.07.04'!$H$11&lt;0, $G546 &amp; ": " &amp; $H546, "OK")</f>
        <v>OK</v>
      </c>
      <c r="J546" s="57" t="str">
        <f>IF(LEN(IF(VLOOKUP("AMLA_VR_AML.07.04_C0070_01",$A:$I,9,0)&lt;&gt;"OK",CHAR(10)&amp;VLOOKUP("AMLA_VR_AML.07.04_C0070_01",$A:$I,9,0),"")&amp;IF(VLOOKUP("AMLA_VR_AML.07.04_C0070_02",$A:$I,9,0)&lt;&gt;"OK",CHAR(10)&amp;VLOOKUP("AMLA_VR_AML.07.04_C0070_02",$A:$I,9,0),""))=0,"OK",MID(IF(VLOOKUP("AMLA_VR_AML.07.04_C0070_01",$A:$I,9,0)&lt;&gt;"OK",CHAR(10)&amp;VLOOKUP("AMLA_VR_AML.07.04_C0070_01",$A:$I,9,0),"")&amp;IF(VLOOKUP("AMLA_VR_AML.07.04_C0070_02",$A:$I,9,0)&lt;&gt;"OK",CHAR(10)&amp;VLOOKUP("AMLA_VR_AML.07.04_C0070_02",$A:$I,9,0),""),2,3000))</f>
        <v>OK</v>
      </c>
      <c r="K546" s="161" t="s">
        <v>1775</v>
      </c>
    </row>
    <row r="547" spans="1:11">
      <c r="A547" s="159" t="str">
        <f>"AMLA_VR_" &amp; B547 &amp; "_" &amp; C547 &amp; "_" &amp; TEXT(COUNTIFS($B$2:B547, B547, $C$2:C547, C547), "00")</f>
        <v>AMLA_VR_AML.07.04_C0070_02</v>
      </c>
      <c r="B547" s="157" t="s">
        <v>384</v>
      </c>
      <c r="C547" s="157" t="s">
        <v>87</v>
      </c>
      <c r="D547" s="157" t="s">
        <v>1555</v>
      </c>
      <c r="E547" s="160" t="str" cm="1">
        <f t="array" aca="1" ref="E547" ca="1">IF(C547="", INDIRECT("'"&amp;B547&amp;"'!B3"), INDEX(INDIRECT("'"&amp;B547&amp;"'!5:5"), COLUMN(INDIRECT("'"&amp;B547&amp;"'!"&amp;D547))))</f>
        <v>Customers – Information Updates Completed</v>
      </c>
      <c r="F547" s="157" t="s">
        <v>1776</v>
      </c>
      <c r="G547" s="157" t="s">
        <v>1773</v>
      </c>
      <c r="H547" s="157" t="s">
        <v>1816</v>
      </c>
      <c r="I547" s="157" t="str">
        <f>IF(TRIM(SUBSTITUTE('AML.07.04'!$H$11&amp;"",CHAR(160),""))="","OK",IF(OR(NOT(ISNUMBER('AML.07.04'!$H$11)),IFERROR(INT('AML.07.04'!$H$11)&lt;&gt;'AML.07.04'!$H$11,TRUE)),$G547&amp;": "&amp;$H547,"OK"))</f>
        <v>OK</v>
      </c>
      <c r="J547" s="171" t="str">
        <f>IF(LEN(IF(VLOOKUP("AMLA_VR_AML.07.04_C0070_01",$A:$I,9,0)&lt;&gt;"OK",CHAR(10)&amp;VLOOKUP("AMLA_VR_AML.07.04_C0070_01",$A:$I,9,0),"")&amp;IF(VLOOKUP("AMLA_VR_AML.07.04_C0070_02",$A:$I,9,0)&lt;&gt;"OK",CHAR(10)&amp;VLOOKUP("AMLA_VR_AML.07.04_C0070_02",$A:$I,9,0),""))=0,"OK",MID(IF(VLOOKUP("AMLA_VR_AML.07.04_C0070_01",$A:$I,9,0)&lt;&gt;"OK",CHAR(10)&amp;VLOOKUP("AMLA_VR_AML.07.04_C0070_01",$A:$I,9,0),"")&amp;IF(VLOOKUP("AMLA_VR_AML.07.04_C0070_02",$A:$I,9,0)&lt;&gt;"OK",CHAR(10)&amp;VLOOKUP("AMLA_VR_AML.07.04_C0070_02",$A:$I,9,0),""),2,3000))</f>
        <v>OK</v>
      </c>
      <c r="K547" s="158" t="s">
        <v>1775</v>
      </c>
    </row>
    <row r="548" spans="1:11">
      <c r="A548" s="159" t="str">
        <f>"AMLA_VR_" &amp; B548 &amp; "_" &amp; C548 &amp; "_" &amp; TEXT(COUNTIFS($B$2:B548, B548, $C$2:C548, C548), "00")</f>
        <v>AMLA_VR_AML.07.05_C0010_01</v>
      </c>
      <c r="B548" s="160" t="s">
        <v>393</v>
      </c>
      <c r="C548" s="160" t="s">
        <v>81</v>
      </c>
      <c r="D548" s="160" t="s">
        <v>1549</v>
      </c>
      <c r="E548" s="160" t="str" cm="1">
        <f t="array" aca="1" ref="E548" ca="1">IF(C548="", INDIRECT("'"&amp;B548&amp;"'!B3"), INDEX(INDIRECT("'"&amp;B548&amp;"'!5:5"), COLUMN(INDIRECT("'"&amp;B548&amp;"'!"&amp;D548))))</f>
        <v>The Obliged Entity Has a Transaction/ Monitoring System in Place</v>
      </c>
      <c r="F548" s="160" t="s">
        <v>1776</v>
      </c>
      <c r="G548" s="160" t="s">
        <v>1773</v>
      </c>
      <c r="H548" s="160" t="s">
        <v>1782</v>
      </c>
      <c r="I548" s="160" t="str">
        <f>IF(TRIM(SUBSTITUTE('AML.07.05'!$B$11&amp;"",CHAR(160),""))="","OK",IF(COUNTIF(LIST_AMLA_00006,'AML.07.05'!$B$11)=0,$G548&amp;": "&amp;$H548,"OK"))</f>
        <v>OK</v>
      </c>
      <c r="J548" s="57" t="str">
        <f>IF(LEN(IF(VLOOKUP("AMLA_VR_AML.07.05_C0010_01",$A:$I,9,0)&lt;&gt;"OK",CHAR(10)&amp;VLOOKUP("AMLA_VR_AML.07.05_C0010_01",$A:$I,9,0),""))=0,"OK",MID(IF(VLOOKUP("AMLA_VR_AML.07.05_C0010_01",$A:$I,9,0)&lt;&gt;"OK",CHAR(10)&amp;VLOOKUP("AMLA_VR_AML.07.05_C0010_01",$A:$I,9,0),""),2,3000))</f>
        <v>OK</v>
      </c>
      <c r="K548" s="161" t="s">
        <v>1775</v>
      </c>
    </row>
    <row r="549" spans="1:11">
      <c r="A549" s="159" t="str">
        <f>"AMLA_VR_" &amp; B549 &amp; "_" &amp; C549 &amp; "_" &amp; TEXT(COUNTIFS($B$2:B549, B549, $C$2:C549, C549), "00")</f>
        <v>AMLA_VR_AML.07.05_C0020_01</v>
      </c>
      <c r="B549" s="157" t="s">
        <v>393</v>
      </c>
      <c r="C549" s="157" t="s">
        <v>82</v>
      </c>
      <c r="D549" s="157" t="s">
        <v>1550</v>
      </c>
      <c r="E549" s="160" t="str" cm="1">
        <f t="array" aca="1" ref="E549" ca="1">IF(C549="", INDIRECT("'"&amp;B549&amp;"'!B3"), INDEX(INDIRECT("'"&amp;B549&amp;"'!5:5"), COLUMN(INDIRECT("'"&amp;B549&amp;"'!"&amp;D549))))</f>
        <v>Transaction / Activity Monitoring System Type</v>
      </c>
      <c r="F549" s="157" t="s">
        <v>1776</v>
      </c>
      <c r="G549" s="157" t="s">
        <v>1773</v>
      </c>
      <c r="H549" s="157" t="s">
        <v>1782</v>
      </c>
      <c r="I549" s="157" t="str">
        <f>IF(TRIM(SUBSTITUTE('AML.07.05'!$C$11&amp;"",CHAR(160),""))="","OK",IF(COUNTIF(LIST_AMLA_00011,'AML.07.05'!$C$11)=0,$G549&amp;": "&amp;$H549,"OK"))</f>
        <v>OK</v>
      </c>
      <c r="J549" s="171" t="str">
        <f>IF(LEN(IF(VLOOKUP("AMLA_VR_AML.07.05_C0020_01",$A:$I,9,0)&lt;&gt;"OK",CHAR(10)&amp;VLOOKUP("AMLA_VR_AML.07.05_C0020_01",$A:$I,9,0),""))=0,"OK",MID(IF(VLOOKUP("AMLA_VR_AML.07.05_C0020_01",$A:$I,9,0)&lt;&gt;"OK",CHAR(10)&amp;VLOOKUP("AMLA_VR_AML.07.05_C0020_01",$A:$I,9,0),""),2,3000))</f>
        <v>OK</v>
      </c>
      <c r="K549" s="158" t="s">
        <v>1775</v>
      </c>
    </row>
    <row r="550" spans="1:11">
      <c r="A550" s="159" t="str">
        <f>"AMLA_VR_" &amp; B550 &amp; "_" &amp; C550 &amp; "_" &amp; TEXT(COUNTIFS($B$2:B550, B550, $C$2:C550, C550), "00")</f>
        <v>AMLA_VR_AML.07.05_C0030_01</v>
      </c>
      <c r="B550" s="157" t="s">
        <v>393</v>
      </c>
      <c r="C550" s="157" t="s">
        <v>83</v>
      </c>
      <c r="D550" s="157" t="s">
        <v>1551</v>
      </c>
      <c r="E550" s="160" t="str" cm="1">
        <f t="array" aca="1" ref="E550" ca="1">IF(C550="", INDIRECT("'"&amp;B550&amp;"'!B3"), INDEX(INDIRECT("'"&amp;B550&amp;"'!5:5"), COLUMN(INDIRECT("'"&amp;B550&amp;"'!"&amp;D550))))</f>
        <v>If manual system: Average Alert Analysis Time (Days)</v>
      </c>
      <c r="F550" s="157" t="s">
        <v>1772</v>
      </c>
      <c r="G550" s="157" t="s">
        <v>1773</v>
      </c>
      <c r="H550" s="157" t="s">
        <v>1820</v>
      </c>
      <c r="I550" s="157" t="str">
        <f>IF('AML.07.05'!$D$11&lt;0, $G550 &amp; ": " &amp; $H550, "OK")</f>
        <v>OK</v>
      </c>
      <c r="J550" s="171" t="str">
        <f>IF(LEN(IF(VLOOKUP("AMLA_VR_AML.07.05_C0030_01",$A:$I,9,0)&lt;&gt;"OK",CHAR(10)&amp;VLOOKUP("AMLA_VR_AML.07.05_C0030_01",$A:$I,9,0),"")&amp;IF(VLOOKUP("AMLA_VR_AML.07.05_C0030_02",$A:$I,9,0)&lt;&gt;"OK",CHAR(10)&amp;VLOOKUP("AMLA_VR_AML.07.05_C0030_02",$A:$I,9,0),""))=0,"OK",MID(IF(VLOOKUP("AMLA_VR_AML.07.05_C0030_01",$A:$I,9,0)&lt;&gt;"OK",CHAR(10)&amp;VLOOKUP("AMLA_VR_AML.07.05_C0030_01",$A:$I,9,0),"")&amp;IF(VLOOKUP("AMLA_VR_AML.07.05_C0030_02",$A:$I,9,0)&lt;&gt;"OK",CHAR(10)&amp;VLOOKUP("AMLA_VR_AML.07.05_C0030_02",$A:$I,9,0),""),2,3000))</f>
        <v>OK</v>
      </c>
      <c r="K550" s="158" t="s">
        <v>1775</v>
      </c>
    </row>
    <row r="551" spans="1:11">
      <c r="A551" s="159" t="str">
        <f>"AMLA_VR_" &amp; B551 &amp; "_" &amp; C551 &amp; "_" &amp; TEXT(COUNTIFS($B$2:B551, B551, $C$2:C551, C551), "00")</f>
        <v>AMLA_VR_AML.07.05_C0030_02</v>
      </c>
      <c r="B551" s="160" t="s">
        <v>393</v>
      </c>
      <c r="C551" s="160" t="s">
        <v>83</v>
      </c>
      <c r="D551" s="160" t="s">
        <v>1551</v>
      </c>
      <c r="E551" s="160" t="str" cm="1">
        <f t="array" aca="1" ref="E551" ca="1">IF(C551="", INDIRECT("'"&amp;B551&amp;"'!B3"), INDEX(INDIRECT("'"&amp;B551&amp;"'!5:5"), COLUMN(INDIRECT("'"&amp;B551&amp;"'!"&amp;D551))))</f>
        <v>If manual system: Average Alert Analysis Time (Days)</v>
      </c>
      <c r="F551" s="160" t="s">
        <v>1776</v>
      </c>
      <c r="G551" s="160" t="s">
        <v>1773</v>
      </c>
      <c r="H551" s="160" t="s">
        <v>1837</v>
      </c>
      <c r="I551" s="160" t="str">
        <f>IF(TRIM(SUBSTITUTE('AML.07.05'!$D$11&amp;"",CHAR(160),""))="","OK",IF(NOT(ISNUMBER('AML.07.05'!$D$11)),$G551&amp;": "&amp;$H551,"OK"))</f>
        <v>OK</v>
      </c>
      <c r="J551" s="57" t="str">
        <f>IF(LEN(IF(VLOOKUP("AMLA_VR_AML.07.05_C0030_01",$A:$I,9,0)&lt;&gt;"OK",CHAR(10)&amp;VLOOKUP("AMLA_VR_AML.07.05_C0030_01",$A:$I,9,0),"")&amp;IF(VLOOKUP("AMLA_VR_AML.07.05_C0030_02",$A:$I,9,0)&lt;&gt;"OK",CHAR(10)&amp;VLOOKUP("AMLA_VR_AML.07.05_C0030_02",$A:$I,9,0),""))=0,"OK",MID(IF(VLOOKUP("AMLA_VR_AML.07.05_C0030_01",$A:$I,9,0)&lt;&gt;"OK",CHAR(10)&amp;VLOOKUP("AMLA_VR_AML.07.05_C0030_01",$A:$I,9,0),"")&amp;IF(VLOOKUP("AMLA_VR_AML.07.05_C0030_02",$A:$I,9,0)&lt;&gt;"OK",CHAR(10)&amp;VLOOKUP("AMLA_VR_AML.07.05_C0030_02",$A:$I,9,0),""),2,3000))</f>
        <v>OK</v>
      </c>
      <c r="K551" s="161" t="s">
        <v>1775</v>
      </c>
    </row>
    <row r="552" spans="1:11">
      <c r="A552" s="159" t="str">
        <f>"AMLA_VR_" &amp; B552 &amp; "_" &amp; C552 &amp; "_" &amp; TEXT(COUNTIFS($B$2:B552, B552, $C$2:C552, C552), "00")</f>
        <v>AMLA_VR_AML.07.05_C0040_01</v>
      </c>
      <c r="B552" s="157" t="s">
        <v>393</v>
      </c>
      <c r="C552" s="157" t="s">
        <v>84</v>
      </c>
      <c r="D552" s="157" t="s">
        <v>1552</v>
      </c>
      <c r="E552" s="160" t="str" cm="1">
        <f t="array" aca="1" ref="E552" ca="1">IF(C552="", INDIRECT("'"&amp;B552&amp;"'!B3"), INDEX(INDIRECT("'"&amp;B552&amp;"'!5:5"), COLUMN(INDIRECT("'"&amp;B552&amp;"'!"&amp;D552))))</f>
        <v>Automated Monitoring System - Alerts on Inconsistencies with Expected Number of Transactions</v>
      </c>
      <c r="F552" s="157" t="s">
        <v>1776</v>
      </c>
      <c r="G552" s="157" t="s">
        <v>1773</v>
      </c>
      <c r="H552" s="157" t="s">
        <v>1782</v>
      </c>
      <c r="I552" s="157" t="str">
        <f>IF(TRIM(SUBSTITUTE('AML.07.05'!$E$11&amp;"",CHAR(160),""))="","OK",IF(COUNTIF(LIST_AMLA_00006,'AML.07.05'!$E$11)=0,$G552&amp;": "&amp;$H552,"OK"))</f>
        <v>OK</v>
      </c>
      <c r="J552" s="171" t="str">
        <f>IF(LEN(IF(VLOOKUP("AMLA_VR_AML.07.05_C0040_01",$A:$I,9,0)&lt;&gt;"OK",CHAR(10)&amp;VLOOKUP("AMLA_VR_AML.07.05_C0040_01",$A:$I,9,0),""))=0,"OK",MID(IF(VLOOKUP("AMLA_VR_AML.07.05_C0040_01",$A:$I,9,0)&lt;&gt;"OK",CHAR(10)&amp;VLOOKUP("AMLA_VR_AML.07.05_C0040_01",$A:$I,9,0),""),2,3000))</f>
        <v>OK</v>
      </c>
      <c r="K552" s="158" t="s">
        <v>1775</v>
      </c>
    </row>
    <row r="553" spans="1:11">
      <c r="A553" s="159" t="str">
        <f>"AMLA_VR_" &amp; B553 &amp; "_" &amp; C553 &amp; "_" &amp; TEXT(COUNTIFS($B$2:B553, B553, $C$2:C553, C553), "00")</f>
        <v>AMLA_VR_AML.07.05_C0050_01</v>
      </c>
      <c r="B553" s="160" t="s">
        <v>393</v>
      </c>
      <c r="C553" s="160" t="s">
        <v>85</v>
      </c>
      <c r="D553" s="160" t="s">
        <v>1553</v>
      </c>
      <c r="E553" s="160" t="str" cm="1">
        <f t="array" aca="1" ref="E553" ca="1">IF(C553="", INDIRECT("'"&amp;B553&amp;"'!B3"), INDEX(INDIRECT("'"&amp;B553&amp;"'!5:5"), COLUMN(INDIRECT("'"&amp;B553&amp;"'!"&amp;D553))))</f>
        <v>Automated Monitoring System -Alerts on Inconsistencies with Expected Value of Aggregated Transactions</v>
      </c>
      <c r="F553" s="160" t="s">
        <v>1776</v>
      </c>
      <c r="G553" s="160" t="s">
        <v>1773</v>
      </c>
      <c r="H553" s="160" t="s">
        <v>1782</v>
      </c>
      <c r="I553" s="160" t="str">
        <f>IF(TRIM(SUBSTITUTE('AML.07.05'!$F$11&amp;"",CHAR(160),""))="","OK",IF(COUNTIF(LIST_AMLA_00006,'AML.07.05'!$F$11)=0,$G553&amp;": "&amp;$H553,"OK"))</f>
        <v>OK</v>
      </c>
      <c r="J553" s="57" t="str">
        <f>IF(LEN(IF(VLOOKUP("AMLA_VR_AML.07.05_C0050_01",$A:$I,9,0)&lt;&gt;"OK",CHAR(10)&amp;VLOOKUP("AMLA_VR_AML.07.05_C0050_01",$A:$I,9,0),""))=0,"OK",MID(IF(VLOOKUP("AMLA_VR_AML.07.05_C0050_01",$A:$I,9,0)&lt;&gt;"OK",CHAR(10)&amp;VLOOKUP("AMLA_VR_AML.07.05_C0050_01",$A:$I,9,0),""),2,3000))</f>
        <v>OK</v>
      </c>
      <c r="K553" s="161" t="s">
        <v>1775</v>
      </c>
    </row>
    <row r="554" spans="1:11">
      <c r="A554" s="159" t="str">
        <f>"AMLA_VR_" &amp; B554 &amp; "_" &amp; C554 &amp; "_" &amp; TEXT(COUNTIFS($B$2:B554, B554, $C$2:C554, C554), "00")</f>
        <v>AMLA_VR_AML.07.05_C0060_01</v>
      </c>
      <c r="B554" s="157" t="s">
        <v>393</v>
      </c>
      <c r="C554" s="157" t="s">
        <v>86</v>
      </c>
      <c r="D554" s="157" t="s">
        <v>1554</v>
      </c>
      <c r="E554" s="160" t="str" cm="1">
        <f t="array" aca="1" ref="E554" ca="1">IF(C554="", INDIRECT("'"&amp;B554&amp;"'!B3"), INDEX(INDIRECT("'"&amp;B554&amp;"'!5:5"), COLUMN(INDIRECT("'"&amp;B554&amp;"'!"&amp;D554))))</f>
        <v>Automated Monitoring System –Alerts on Inconsistencies with Expected Value of Single Transactions</v>
      </c>
      <c r="F554" s="157" t="s">
        <v>1776</v>
      </c>
      <c r="G554" s="157" t="s">
        <v>1773</v>
      </c>
      <c r="H554" s="157" t="s">
        <v>1782</v>
      </c>
      <c r="I554" s="157" t="str">
        <f>IF(TRIM(SUBSTITUTE('AML.07.05'!$G$11&amp;"",CHAR(160),""))="","OK",IF(COUNTIF(LIST_AMLA_00006,'AML.07.05'!$G$11)=0,$G554&amp;": "&amp;$H554,"OK"))</f>
        <v>OK</v>
      </c>
      <c r="J554" s="171" t="str">
        <f>IF(LEN(IF(VLOOKUP("AMLA_VR_AML.07.05_C0060_01",$A:$I,9,0)&lt;&gt;"OK",CHAR(10)&amp;VLOOKUP("AMLA_VR_AML.07.05_C0060_01",$A:$I,9,0),""))=0,"OK",MID(IF(VLOOKUP("AMLA_VR_AML.07.05_C0060_01",$A:$I,9,0)&lt;&gt;"OK",CHAR(10)&amp;VLOOKUP("AMLA_VR_AML.07.05_C0060_01",$A:$I,9,0),""),2,3000))</f>
        <v>OK</v>
      </c>
      <c r="K554" s="158" t="s">
        <v>1775</v>
      </c>
    </row>
    <row r="555" spans="1:11">
      <c r="A555" s="159" t="str">
        <f>"AMLA_VR_" &amp; B555 &amp; "_" &amp; C555 &amp; "_" &amp; TEXT(COUNTIFS($B$2:B555, B555, $C$2:C555, C555), "00")</f>
        <v>AMLA_VR_AML.07.05_C0070_01</v>
      </c>
      <c r="B555" s="160" t="s">
        <v>393</v>
      </c>
      <c r="C555" s="160" t="s">
        <v>87</v>
      </c>
      <c r="D555" s="160" t="s">
        <v>1555</v>
      </c>
      <c r="E555" s="160" t="str" cm="1">
        <f t="array" aca="1" ref="E555" ca="1">IF(C555="", INDIRECT("'"&amp;B555&amp;"'!B3"), INDEX(INDIRECT("'"&amp;B555&amp;"'!5:5"), COLUMN(INDIRECT("'"&amp;B555&amp;"'!"&amp;D555))))</f>
        <v>Automated Monitoring System – Alerts on Inconsistencies with Expected Counterparties</v>
      </c>
      <c r="F555" s="160" t="s">
        <v>1776</v>
      </c>
      <c r="G555" s="160" t="s">
        <v>1773</v>
      </c>
      <c r="H555" s="160" t="s">
        <v>1782</v>
      </c>
      <c r="I555" s="160" t="str">
        <f>IF(TRIM(SUBSTITUTE('AML.07.05'!$H$11&amp;"",CHAR(160),""))="","OK",IF(COUNTIF(LIST_AMLA_00006,'AML.07.05'!$H$11)=0,$G555&amp;": "&amp;$H555,"OK"))</f>
        <v>OK</v>
      </c>
      <c r="J555" s="57" t="str">
        <f>IF(LEN(IF(VLOOKUP("AMLA_VR_AML.07.05_C0070_01",$A:$I,9,0)&lt;&gt;"OK",CHAR(10)&amp;VLOOKUP("AMLA_VR_AML.07.05_C0070_01",$A:$I,9,0),""))=0,"OK",MID(IF(VLOOKUP("AMLA_VR_AML.07.05_C0070_01",$A:$I,9,0)&lt;&gt;"OK",CHAR(10)&amp;VLOOKUP("AMLA_VR_AML.07.05_C0070_01",$A:$I,9,0),""),2,3000))</f>
        <v>OK</v>
      </c>
      <c r="K555" s="161" t="s">
        <v>1775</v>
      </c>
    </row>
    <row r="556" spans="1:11">
      <c r="A556" s="159" t="str">
        <f>"AMLA_VR_" &amp; B556 &amp; "_" &amp; C556 &amp; "_" &amp; TEXT(COUNTIFS($B$2:B556, B556, $C$2:C556, C556), "00")</f>
        <v>AMLA_VR_AML.07.05_C0080_01</v>
      </c>
      <c r="B556" s="157" t="s">
        <v>393</v>
      </c>
      <c r="C556" s="157" t="s">
        <v>88</v>
      </c>
      <c r="D556" s="157" t="s">
        <v>1556</v>
      </c>
      <c r="E556" s="160" t="str" cm="1">
        <f t="array" aca="1" ref="E556" ca="1">IF(C556="", INDIRECT("'"&amp;B556&amp;"'!B3"), INDEX(INDIRECT("'"&amp;B556&amp;"'!5:5"), COLUMN(INDIRECT("'"&amp;B556&amp;"'!"&amp;D556))))</f>
        <v>Automated Monitoring System - CDD Inconsistencies: Alerts on Countries</v>
      </c>
      <c r="F556" s="157" t="s">
        <v>1776</v>
      </c>
      <c r="G556" s="157" t="s">
        <v>1773</v>
      </c>
      <c r="H556" s="157" t="s">
        <v>1782</v>
      </c>
      <c r="I556" s="157" t="str">
        <f>IF(TRIM(SUBSTITUTE('AML.07.05'!$I$11&amp;"",CHAR(160),""))="","OK",IF(COUNTIF(LIST_AMLA_00006,'AML.07.05'!$I$11)=0,$G556&amp;": "&amp;$H556,"OK"))</f>
        <v>OK</v>
      </c>
      <c r="J556" s="171" t="str">
        <f>IF(LEN(IF(VLOOKUP("AMLA_VR_AML.07.05_C0080_01",$A:$I,9,0)&lt;&gt;"OK",CHAR(10)&amp;VLOOKUP("AMLA_VR_AML.07.05_C0080_01",$A:$I,9,0),""))=0,"OK",MID(IF(VLOOKUP("AMLA_VR_AML.07.05_C0080_01",$A:$I,9,0)&lt;&gt;"OK",CHAR(10)&amp;VLOOKUP("AMLA_VR_AML.07.05_C0080_01",$A:$I,9,0),""),2,3000))</f>
        <v>OK</v>
      </c>
      <c r="K556" s="158" t="s">
        <v>1775</v>
      </c>
    </row>
    <row r="557" spans="1:11">
      <c r="A557" s="159" t="str">
        <f>"AMLA_VR_" &amp; B557 &amp; "_" &amp; C557 &amp; "_" &amp; TEXT(COUNTIFS($B$2:B557, B557, $C$2:C557, C557), "00")</f>
        <v>AMLA_VR_AML.07.05_C0090_01</v>
      </c>
      <c r="B557" s="160" t="s">
        <v>393</v>
      </c>
      <c r="C557" s="160" t="s">
        <v>89</v>
      </c>
      <c r="D557" s="160" t="s">
        <v>1557</v>
      </c>
      <c r="E557" s="160" t="str" cm="1">
        <f t="array" aca="1" ref="E557" ca="1">IF(C557="", INDIRECT("'"&amp;B557&amp;"'!B3"), INDEX(INDIRECT("'"&amp;B557&amp;"'!5:5"), COLUMN(INDIRECT("'"&amp;B557&amp;"'!"&amp;D557))))</f>
        <v>If automated system: Alerts Pending</v>
      </c>
      <c r="F557" s="160" t="s">
        <v>1772</v>
      </c>
      <c r="G557" s="160" t="s">
        <v>1773</v>
      </c>
      <c r="H557" s="160" t="s">
        <v>1826</v>
      </c>
      <c r="I557" s="160" t="str">
        <f>IF('AML.07.05'!$J$11&lt;0, $G557 &amp; ": " &amp; $H557, "OK")</f>
        <v>OK</v>
      </c>
      <c r="J557" s="57" t="str">
        <f>IF(LEN(IF(VLOOKUP("AMLA_VR_AML.07.05_C0090_01",$A:$I,9,0)&lt;&gt;"OK",CHAR(10)&amp;VLOOKUP("AMLA_VR_AML.07.05_C0090_01",$A:$I,9,0),"")&amp;IF(VLOOKUP("AMLA_VR_AML.07.05_C0090_02",$A:$I,9,0)&lt;&gt;"OK",CHAR(10)&amp;VLOOKUP("AMLA_VR_AML.07.05_C0090_02",$A:$I,9,0),""))=0,"OK",MID(IF(VLOOKUP("AMLA_VR_AML.07.05_C0090_01",$A:$I,9,0)&lt;&gt;"OK",CHAR(10)&amp;VLOOKUP("AMLA_VR_AML.07.05_C0090_01",$A:$I,9,0),"")&amp;IF(VLOOKUP("AMLA_VR_AML.07.05_C0090_02",$A:$I,9,0)&lt;&gt;"OK",CHAR(10)&amp;VLOOKUP("AMLA_VR_AML.07.05_C0090_02",$A:$I,9,0),""),2,3000))</f>
        <v>OK</v>
      </c>
      <c r="K557" s="161" t="s">
        <v>1775</v>
      </c>
    </row>
    <row r="558" spans="1:11">
      <c r="A558" s="159" t="str">
        <f>"AMLA_VR_" &amp; B558 &amp; "_" &amp; C558 &amp; "_" &amp; TEXT(COUNTIFS($B$2:B558, B558, $C$2:C558, C558), "00")</f>
        <v>AMLA_VR_AML.07.05_C0090_02</v>
      </c>
      <c r="B558" s="160" t="s">
        <v>393</v>
      </c>
      <c r="C558" s="160" t="s">
        <v>89</v>
      </c>
      <c r="D558" s="160" t="s">
        <v>1557</v>
      </c>
      <c r="E558" s="160" t="str" cm="1">
        <f t="array" aca="1" ref="E558" ca="1">IF(C558="", INDIRECT("'"&amp;B558&amp;"'!B3"), INDEX(INDIRECT("'"&amp;B558&amp;"'!5:5"), COLUMN(INDIRECT("'"&amp;B558&amp;"'!"&amp;D558))))</f>
        <v>If automated system: Alerts Pending</v>
      </c>
      <c r="F558" s="160" t="s">
        <v>1776</v>
      </c>
      <c r="G558" s="160" t="s">
        <v>1773</v>
      </c>
      <c r="H558" s="160" t="s">
        <v>1816</v>
      </c>
      <c r="I558" s="160" t="str">
        <f>IF(TRIM(SUBSTITUTE('AML.07.05'!$J$11&amp;"",CHAR(160),""))="","OK",IF(OR(NOT(ISNUMBER('AML.07.05'!$J$11)),IFERROR(INT('AML.07.05'!$J$11)&lt;&gt;'AML.07.05'!$J$11,TRUE)),$G558&amp;": "&amp;$H558,"OK"))</f>
        <v>OK</v>
      </c>
      <c r="J558" s="57" t="str">
        <f>IF(LEN(IF(VLOOKUP("AMLA_VR_AML.07.05_C0090_01",$A:$I,9,0)&lt;&gt;"OK",CHAR(10)&amp;VLOOKUP("AMLA_VR_AML.07.05_C0090_01",$A:$I,9,0),"")&amp;IF(VLOOKUP("AMLA_VR_AML.07.05_C0090_02",$A:$I,9,0)&lt;&gt;"OK",CHAR(10)&amp;VLOOKUP("AMLA_VR_AML.07.05_C0090_02",$A:$I,9,0),""))=0,"OK",MID(IF(VLOOKUP("AMLA_VR_AML.07.05_C0090_01",$A:$I,9,0)&lt;&gt;"OK",CHAR(10)&amp;VLOOKUP("AMLA_VR_AML.07.05_C0090_01",$A:$I,9,0),"")&amp;IF(VLOOKUP("AMLA_VR_AML.07.05_C0090_02",$A:$I,9,0)&lt;&gt;"OK",CHAR(10)&amp;VLOOKUP("AMLA_VR_AML.07.05_C0090_02",$A:$I,9,0),""),2,3000))</f>
        <v>OK</v>
      </c>
      <c r="K558" s="161" t="s">
        <v>1775</v>
      </c>
    </row>
    <row r="559" spans="1:11">
      <c r="A559" s="159" t="str">
        <f>"AMLA_VR_" &amp; B559 &amp; "_" &amp; C559 &amp; "_" &amp; TEXT(COUNTIFS($B$2:B559, B559, $C$2:C559, C559), "00")</f>
        <v>AMLA_VR_AML.07.05_C0100_01</v>
      </c>
      <c r="B559" s="157" t="s">
        <v>393</v>
      </c>
      <c r="C559" s="157" t="s">
        <v>90</v>
      </c>
      <c r="D559" s="157" t="s">
        <v>1558</v>
      </c>
      <c r="E559" s="160" t="str" cm="1">
        <f t="array" aca="1" ref="E559" ca="1">IF(C559="", INDIRECT("'"&amp;B559&amp;"'!B3"), INDEX(INDIRECT("'"&amp;B559&amp;"'!5:5"), COLUMN(INDIRECT("'"&amp;B559&amp;"'!"&amp;D559))))</f>
        <v>If automated system: Average Alert Analysis Time (Days)</v>
      </c>
      <c r="F559" s="157" t="s">
        <v>1772</v>
      </c>
      <c r="G559" s="157" t="s">
        <v>1773</v>
      </c>
      <c r="H559" s="157" t="s">
        <v>1827</v>
      </c>
      <c r="I559" s="157" t="str">
        <f>IF('AML.07.05'!$K$11&lt;0, $G559 &amp; ": " &amp; $H559, "OK")</f>
        <v>OK</v>
      </c>
      <c r="J559" s="171" t="str">
        <f>IF(LEN(IF(VLOOKUP("AMLA_VR_AML.07.05_C0100_01",$A:$I,9,0)&lt;&gt;"OK",CHAR(10)&amp;VLOOKUP("AMLA_VR_AML.07.05_C0100_01",$A:$I,9,0),"")&amp;IF(VLOOKUP("AMLA_VR_AML.07.05_C0100_02",$A:$I,9,0)&lt;&gt;"OK",CHAR(10)&amp;VLOOKUP("AMLA_VR_AML.07.05_C0100_02",$A:$I,9,0),""))=0,"OK",MID(IF(VLOOKUP("AMLA_VR_AML.07.05_C0100_01",$A:$I,9,0)&lt;&gt;"OK",CHAR(10)&amp;VLOOKUP("AMLA_VR_AML.07.05_C0100_01",$A:$I,9,0),"")&amp;IF(VLOOKUP("AMLA_VR_AML.07.05_C0100_02",$A:$I,9,0)&lt;&gt;"OK",CHAR(10)&amp;VLOOKUP("AMLA_VR_AML.07.05_C0100_02",$A:$I,9,0),""),2,3000))</f>
        <v>OK</v>
      </c>
      <c r="K559" s="158" t="s">
        <v>1775</v>
      </c>
    </row>
    <row r="560" spans="1:11">
      <c r="A560" s="159" t="str">
        <f>"AMLA_VR_" &amp; B560 &amp; "_" &amp; C560 &amp; "_" &amp; TEXT(COUNTIFS($B$2:B560, B560, $C$2:C560, C560), "00")</f>
        <v>AMLA_VR_AML.07.05_C0100_02</v>
      </c>
      <c r="B560" s="157" t="s">
        <v>393</v>
      </c>
      <c r="C560" s="157" t="s">
        <v>90</v>
      </c>
      <c r="D560" s="157" t="s">
        <v>1558</v>
      </c>
      <c r="E560" s="160" t="str" cm="1">
        <f t="array" aca="1" ref="E560" ca="1">IF(C560="", INDIRECT("'"&amp;B560&amp;"'!B3"), INDEX(INDIRECT("'"&amp;B560&amp;"'!5:5"), COLUMN(INDIRECT("'"&amp;B560&amp;"'!"&amp;D560))))</f>
        <v>If automated system: Average Alert Analysis Time (Days)</v>
      </c>
      <c r="F560" s="157" t="s">
        <v>1776</v>
      </c>
      <c r="G560" s="157" t="s">
        <v>1773</v>
      </c>
      <c r="H560" s="157" t="s">
        <v>1837</v>
      </c>
      <c r="I560" s="157" t="str">
        <f>IF(TRIM(SUBSTITUTE('AML.07.05'!$K$11&amp;"",CHAR(160),""))="","OK",IF(NOT(ISNUMBER('AML.07.05'!$K$11)),$G560&amp;": "&amp;$H560,"OK"))</f>
        <v>OK</v>
      </c>
      <c r="J560" s="171" t="str">
        <f>IF(LEN(IF(VLOOKUP("AMLA_VR_AML.07.05_C0100_01",$A:$I,9,0)&lt;&gt;"OK",CHAR(10)&amp;VLOOKUP("AMLA_VR_AML.07.05_C0100_01",$A:$I,9,0),"")&amp;IF(VLOOKUP("AMLA_VR_AML.07.05_C0100_02",$A:$I,9,0)&lt;&gt;"OK",CHAR(10)&amp;VLOOKUP("AMLA_VR_AML.07.05_C0100_02",$A:$I,9,0),""))=0,"OK",MID(IF(VLOOKUP("AMLA_VR_AML.07.05_C0100_01",$A:$I,9,0)&lt;&gt;"OK",CHAR(10)&amp;VLOOKUP("AMLA_VR_AML.07.05_C0100_01",$A:$I,9,0),"")&amp;IF(VLOOKUP("AMLA_VR_AML.07.05_C0100_02",$A:$I,9,0)&lt;&gt;"OK",CHAR(10)&amp;VLOOKUP("AMLA_VR_AML.07.05_C0100_02",$A:$I,9,0),""),2,3000))</f>
        <v>OK</v>
      </c>
      <c r="K560" s="158" t="s">
        <v>1775</v>
      </c>
    </row>
    <row r="561" spans="1:11">
      <c r="A561" s="159" t="str">
        <f>"AMLA_VR_" &amp; B561 &amp; "_" &amp; C561 &amp; "_" &amp; TEXT(COUNTIFS($B$2:B561, B561, $C$2:C561, C561), "00")</f>
        <v>AMLA_VR_AML.07.05_C0110_01</v>
      </c>
      <c r="B561" s="160" t="s">
        <v>393</v>
      </c>
      <c r="C561" s="160" t="s">
        <v>91</v>
      </c>
      <c r="D561" s="160" t="s">
        <v>1559</v>
      </c>
      <c r="E561" s="160" t="str" cm="1">
        <f t="array" aca="1" ref="E561" ca="1">IF(C561="", INDIRECT("'"&amp;B561&amp;"'!B3"), INDEX(INDIRECT("'"&amp;B561&amp;"'!5:5"), COLUMN(INDIRECT("'"&amp;B561&amp;"'!"&amp;D561))))</f>
        <v>If automated system: total number of alerts</v>
      </c>
      <c r="F561" s="160" t="s">
        <v>1772</v>
      </c>
      <c r="G561" s="160" t="s">
        <v>1773</v>
      </c>
      <c r="H561" s="160" t="s">
        <v>1828</v>
      </c>
      <c r="I561" s="160" t="str">
        <f>IF('AML.07.05'!$L$11&lt;0, $G561 &amp; ": " &amp; $H561, "OK")</f>
        <v>OK</v>
      </c>
      <c r="J561" s="57" t="str">
        <f>IF(LEN(IF(VLOOKUP("AMLA_VR_AML.07.05_C0110_01",$A:$I,9,0)&lt;&gt;"OK",CHAR(10)&amp;VLOOKUP("AMLA_VR_AML.07.05_C0110_01",$A:$I,9,0),"")&amp;IF(VLOOKUP("AMLA_VR_AML.07.05_C0110_02",$A:$I,9,0)&lt;&gt;"OK",CHAR(10)&amp;VLOOKUP("AMLA_VR_AML.07.05_C0110_02",$A:$I,9,0),""))=0,"OK",MID(IF(VLOOKUP("AMLA_VR_AML.07.05_C0110_01",$A:$I,9,0)&lt;&gt;"OK",CHAR(10)&amp;VLOOKUP("AMLA_VR_AML.07.05_C0110_01",$A:$I,9,0),"")&amp;IF(VLOOKUP("AMLA_VR_AML.07.05_C0110_02",$A:$I,9,0)&lt;&gt;"OK",CHAR(10)&amp;VLOOKUP("AMLA_VR_AML.07.05_C0110_02",$A:$I,9,0),""),2,3000))</f>
        <v>OK</v>
      </c>
      <c r="K561" s="161" t="s">
        <v>1775</v>
      </c>
    </row>
    <row r="562" spans="1:11">
      <c r="A562" s="159" t="str">
        <f>"AMLA_VR_" &amp; B562 &amp; "_" &amp; C562 &amp; "_" &amp; TEXT(COUNTIFS($B$2:B562, B562, $C$2:C562, C562), "00")</f>
        <v>AMLA_VR_AML.07.05_C0110_02</v>
      </c>
      <c r="B562" s="160" t="s">
        <v>393</v>
      </c>
      <c r="C562" s="160" t="s">
        <v>91</v>
      </c>
      <c r="D562" s="160" t="s">
        <v>1559</v>
      </c>
      <c r="E562" s="160" t="str" cm="1">
        <f t="array" aca="1" ref="E562" ca="1">IF(C562="", INDIRECT("'"&amp;B562&amp;"'!B3"), INDEX(INDIRECT("'"&amp;B562&amp;"'!5:5"), COLUMN(INDIRECT("'"&amp;B562&amp;"'!"&amp;D562))))</f>
        <v>If automated system: total number of alerts</v>
      </c>
      <c r="F562" s="160" t="s">
        <v>1776</v>
      </c>
      <c r="G562" s="160" t="s">
        <v>1773</v>
      </c>
      <c r="H562" s="160" t="s">
        <v>1816</v>
      </c>
      <c r="I562" s="160" t="str">
        <f>IF(TRIM(SUBSTITUTE('AML.07.05'!$L$11&amp;"",CHAR(160),""))="","OK",IF(OR(NOT(ISNUMBER('AML.07.05'!$L$11)),IFERROR(INT('AML.07.05'!$L$11)&lt;&gt;'AML.07.05'!$L$11,TRUE)),$G562&amp;": "&amp;$H562,"OK"))</f>
        <v>OK</v>
      </c>
      <c r="J562" s="57" t="str">
        <f>IF(LEN(IF(VLOOKUP("AMLA_VR_AML.07.05_C0110_01",$A:$I,9,0)&lt;&gt;"OK",CHAR(10)&amp;VLOOKUP("AMLA_VR_AML.07.05_C0110_01",$A:$I,9,0),"")&amp;IF(VLOOKUP("AMLA_VR_AML.07.05_C0110_02",$A:$I,9,0)&lt;&gt;"OK",CHAR(10)&amp;VLOOKUP("AMLA_VR_AML.07.05_C0110_02",$A:$I,9,0),""))=0,"OK",MID(IF(VLOOKUP("AMLA_VR_AML.07.05_C0110_01",$A:$I,9,0)&lt;&gt;"OK",CHAR(10)&amp;VLOOKUP("AMLA_VR_AML.07.05_C0110_01",$A:$I,9,0),"")&amp;IF(VLOOKUP("AMLA_VR_AML.07.05_C0110_02",$A:$I,9,0)&lt;&gt;"OK",CHAR(10)&amp;VLOOKUP("AMLA_VR_AML.07.05_C0110_02",$A:$I,9,0),""),2,3000))</f>
        <v>OK</v>
      </c>
      <c r="K562" s="161" t="s">
        <v>1775</v>
      </c>
    </row>
    <row r="563" spans="1:11">
      <c r="A563" s="159" t="str">
        <f>"AMLA_VR_" &amp; B563 &amp; "_" &amp; C563 &amp; "_" &amp; TEXT(COUNTIFS($B$2:B563, B563, $C$2:C563, C563), "00")</f>
        <v>AMLA_VR_AML.07.05_C0120_01</v>
      </c>
      <c r="B563" s="157" t="s">
        <v>393</v>
      </c>
      <c r="C563" s="157" t="s">
        <v>92</v>
      </c>
      <c r="D563" s="157" t="s">
        <v>1560</v>
      </c>
      <c r="E563" s="160" t="str" cm="1">
        <f t="array" aca="1" ref="E563" ca="1">IF(C563="", INDIRECT("'"&amp;B563&amp;"'!B3"), INDEX(INDIRECT("'"&amp;B563&amp;"'!5:5"), COLUMN(INDIRECT("'"&amp;B563&amp;"'!"&amp;D563))))</f>
        <v>If automated system: total number of STRs submitted to the FIU</v>
      </c>
      <c r="F563" s="157" t="s">
        <v>1772</v>
      </c>
      <c r="G563" s="157" t="s">
        <v>1773</v>
      </c>
      <c r="H563" s="157" t="s">
        <v>1829</v>
      </c>
      <c r="I563" s="157" t="str">
        <f>IF('AML.07.05'!$M$11&lt;0, $G563 &amp; ": " &amp; $H563, "OK")</f>
        <v>OK</v>
      </c>
      <c r="J563" s="171" t="str">
        <f>IF(LEN(IF(VLOOKUP("AMLA_VR_AML.07.05_C0120_01",$A:$I,9,0)&lt;&gt;"OK",CHAR(10)&amp;VLOOKUP("AMLA_VR_AML.07.05_C0120_01",$A:$I,9,0),"")&amp;IF(VLOOKUP("AMLA_VR_AML.07.05_C0120_02",$A:$I,9,0)&lt;&gt;"OK",CHAR(10)&amp;VLOOKUP("AMLA_VR_AML.07.05_C0120_02",$A:$I,9,0),""))=0,"OK",MID(IF(VLOOKUP("AMLA_VR_AML.07.05_C0120_01",$A:$I,9,0)&lt;&gt;"OK",CHAR(10)&amp;VLOOKUP("AMLA_VR_AML.07.05_C0120_01",$A:$I,9,0),"")&amp;IF(VLOOKUP("AMLA_VR_AML.07.05_C0120_02",$A:$I,9,0)&lt;&gt;"OK",CHAR(10)&amp;VLOOKUP("AMLA_VR_AML.07.05_C0120_02",$A:$I,9,0),""),2,3000))</f>
        <v>OK</v>
      </c>
      <c r="K563" s="158" t="s">
        <v>1775</v>
      </c>
    </row>
    <row r="564" spans="1:11">
      <c r="A564" s="159" t="str">
        <f>"AMLA_VR_" &amp; B564 &amp; "_" &amp; C564 &amp; "_" &amp; TEXT(COUNTIFS($B$2:B564, B564, $C$2:C564, C564), "00")</f>
        <v>AMLA_VR_AML.07.05_C0120_02</v>
      </c>
      <c r="B564" s="157" t="s">
        <v>393</v>
      </c>
      <c r="C564" s="157" t="s">
        <v>92</v>
      </c>
      <c r="D564" s="157" t="s">
        <v>1560</v>
      </c>
      <c r="E564" s="160" t="str" cm="1">
        <f t="array" aca="1" ref="E564" ca="1">IF(C564="", INDIRECT("'"&amp;B564&amp;"'!B3"), INDEX(INDIRECT("'"&amp;B564&amp;"'!5:5"), COLUMN(INDIRECT("'"&amp;B564&amp;"'!"&amp;D564))))</f>
        <v>If automated system: total number of STRs submitted to the FIU</v>
      </c>
      <c r="F564" s="157" t="s">
        <v>1776</v>
      </c>
      <c r="G564" s="157" t="s">
        <v>1773</v>
      </c>
      <c r="H564" s="157" t="s">
        <v>1816</v>
      </c>
      <c r="I564" s="157" t="str">
        <f>IF(TRIM(SUBSTITUTE('AML.07.05'!$M$11&amp;"",CHAR(160),""))="","OK",IF(OR(NOT(ISNUMBER('AML.07.05'!$M$11)),IFERROR(INT('AML.07.05'!$M$11)&lt;&gt;'AML.07.05'!$M$11,TRUE)),$G564&amp;": "&amp;$H564,"OK"))</f>
        <v>OK</v>
      </c>
      <c r="J564" s="171" t="str">
        <f>IF(LEN(IF(VLOOKUP("AMLA_VR_AML.07.05_C0120_01",$A:$I,9,0)&lt;&gt;"OK",CHAR(10)&amp;VLOOKUP("AMLA_VR_AML.07.05_C0120_01",$A:$I,9,0),"")&amp;IF(VLOOKUP("AMLA_VR_AML.07.05_C0120_02",$A:$I,9,0)&lt;&gt;"OK",CHAR(10)&amp;VLOOKUP("AMLA_VR_AML.07.05_C0120_02",$A:$I,9,0),""))=0,"OK",MID(IF(VLOOKUP("AMLA_VR_AML.07.05_C0120_01",$A:$I,9,0)&lt;&gt;"OK",CHAR(10)&amp;VLOOKUP("AMLA_VR_AML.07.05_C0120_01",$A:$I,9,0),"")&amp;IF(VLOOKUP("AMLA_VR_AML.07.05_C0120_02",$A:$I,9,0)&lt;&gt;"OK",CHAR(10)&amp;VLOOKUP("AMLA_VR_AML.07.05_C0120_02",$A:$I,9,0),""),2,3000))</f>
        <v>OK</v>
      </c>
      <c r="K564" s="158" t="s">
        <v>1775</v>
      </c>
    </row>
    <row r="565" spans="1:11">
      <c r="A565" s="159" t="str">
        <f>"AMLA_VR_" &amp; B565 &amp; "_" &amp; C565 &amp; "_" &amp; TEXT(COUNTIFS($B$2:B565, B565, $C$2:C565, C565), "00")</f>
        <v>AMLA_VR_AML.07.05_C0130_01</v>
      </c>
      <c r="B565" s="160" t="s">
        <v>393</v>
      </c>
      <c r="C565" s="160" t="s">
        <v>93</v>
      </c>
      <c r="D565" s="160" t="s">
        <v>1561</v>
      </c>
      <c r="E565" s="160" t="str" cm="1">
        <f t="array" aca="1" ref="E565" ca="1">IF(C565="", INDIRECT("'"&amp;B565&amp;"'!B3"), INDEX(INDIRECT("'"&amp;B565&amp;"'!5:5"), COLUMN(INDIRECT("'"&amp;B565&amp;"'!"&amp;D565))))</f>
        <v>DLT/Blockchain Analysis Tool</v>
      </c>
      <c r="F565" s="160" t="s">
        <v>1776</v>
      </c>
      <c r="G565" s="160" t="s">
        <v>1773</v>
      </c>
      <c r="H565" s="160" t="s">
        <v>1782</v>
      </c>
      <c r="I565" s="160" t="str">
        <f>IF(TRIM(SUBSTITUTE('AML.07.05'!$N$11&amp;"",CHAR(160),""))="","OK",IF(COUNTIF(LIST_AMLA_00006,'AML.07.05'!$N$11)=0,$G565&amp;": "&amp;$H565,"OK"))</f>
        <v>OK</v>
      </c>
      <c r="J565" s="57" t="str">
        <f>IF(LEN(IF(VLOOKUP("AMLA_VR_AML.07.05_C0130_01",$A:$I,9,0)&lt;&gt;"OK",CHAR(10)&amp;VLOOKUP("AMLA_VR_AML.07.05_C0130_01",$A:$I,9,0),""))=0,"OK",MID(IF(VLOOKUP("AMLA_VR_AML.07.05_C0130_01",$A:$I,9,0)&lt;&gt;"OK",CHAR(10)&amp;VLOOKUP("AMLA_VR_AML.07.05_C0130_01",$A:$I,9,0),""),2,3000))</f>
        <v>OK</v>
      </c>
      <c r="K565" s="161" t="s">
        <v>1775</v>
      </c>
    </row>
    <row r="566" spans="1:11">
      <c r="A566" s="159" t="str">
        <f>"AMLA_VR_" &amp; B566 &amp; "_" &amp; C566 &amp; "_" &amp; TEXT(COUNTIFS($B$2:B566, B566, $C$2:C566, C566), "00")</f>
        <v>AMLA_VR_AML.07.05_C0140_01</v>
      </c>
      <c r="B566" s="160" t="s">
        <v>393</v>
      </c>
      <c r="C566" s="160" t="s">
        <v>94</v>
      </c>
      <c r="D566" s="160" t="s">
        <v>1562</v>
      </c>
      <c r="E566" s="160" t="str" cm="1">
        <f t="array" aca="1" ref="E566" ca="1">IF(C566="", INDIRECT("'"&amp;B566&amp;"'!B3"), INDEX(INDIRECT("'"&amp;B566&amp;"'!5:5"), COLUMN(INDIRECT("'"&amp;B566&amp;"'!"&amp;D566))))</f>
        <v>Average STR Processing Time (Days)</v>
      </c>
      <c r="F566" s="160" t="s">
        <v>1772</v>
      </c>
      <c r="G566" s="160" t="s">
        <v>1773</v>
      </c>
      <c r="H566" s="160" t="s">
        <v>1833</v>
      </c>
      <c r="I566" s="160" t="str">
        <f>IF('AML.07.05'!$O$11&lt;0, $G566 &amp; ": " &amp; $H566, "OK")</f>
        <v>OK</v>
      </c>
      <c r="J566" s="57" t="str">
        <f>IF(LEN(IF(VLOOKUP("AMLA_VR_AML.07.05_C0140_01",$A:$I,9,0)&lt;&gt;"OK",CHAR(10)&amp;VLOOKUP("AMLA_VR_AML.07.05_C0140_01",$A:$I,9,0),"")&amp;IF(VLOOKUP("AMLA_VR_AML.07.05_C0140_02",$A:$I,9,0)&lt;&gt;"OK",CHAR(10)&amp;VLOOKUP("AMLA_VR_AML.07.05_C0140_02",$A:$I,9,0),""))=0,"OK",MID(IF(VLOOKUP("AMLA_VR_AML.07.05_C0140_01",$A:$I,9,0)&lt;&gt;"OK",CHAR(10)&amp;VLOOKUP("AMLA_VR_AML.07.05_C0140_01",$A:$I,9,0),"")&amp;IF(VLOOKUP("AMLA_VR_AML.07.05_C0140_02",$A:$I,9,0)&lt;&gt;"OK",CHAR(10)&amp;VLOOKUP("AMLA_VR_AML.07.05_C0140_02",$A:$I,9,0),""),2,3000))</f>
        <v>OK</v>
      </c>
      <c r="K566" s="161" t="s">
        <v>1775</v>
      </c>
    </row>
    <row r="567" spans="1:11">
      <c r="A567" s="159" t="str">
        <f>"AMLA_VR_" &amp; B567 &amp; "_" &amp; C567 &amp; "_" &amp; TEXT(COUNTIFS($B$2:B567, B567, $C$2:C567, C567), "00")</f>
        <v>AMLA_VR_AML.07.05_C0140_02</v>
      </c>
      <c r="B567" s="157" t="s">
        <v>393</v>
      </c>
      <c r="C567" s="157" t="s">
        <v>94</v>
      </c>
      <c r="D567" s="157" t="s">
        <v>1562</v>
      </c>
      <c r="E567" s="160" t="str" cm="1">
        <f t="array" aca="1" ref="E567" ca="1">IF(C567="", INDIRECT("'"&amp;B567&amp;"'!B3"), INDEX(INDIRECT("'"&amp;B567&amp;"'!5:5"), COLUMN(INDIRECT("'"&amp;B567&amp;"'!"&amp;D567))))</f>
        <v>Average STR Processing Time (Days)</v>
      </c>
      <c r="F567" s="157" t="s">
        <v>1776</v>
      </c>
      <c r="G567" s="157" t="s">
        <v>1773</v>
      </c>
      <c r="H567" s="157" t="s">
        <v>1837</v>
      </c>
      <c r="I567" s="157" t="str">
        <f>IF(TRIM(SUBSTITUTE('AML.07.05'!$O$11&amp;"",CHAR(160),""))="","OK",IF(NOT(ISNUMBER('AML.07.05'!$O$11)),$G567&amp;": "&amp;$H567,"OK"))</f>
        <v>OK</v>
      </c>
      <c r="J567" s="171" t="str">
        <f>IF(LEN(IF(VLOOKUP("AMLA_VR_AML.07.05_C0140_01",$A:$I,9,0)&lt;&gt;"OK",CHAR(10)&amp;VLOOKUP("AMLA_VR_AML.07.05_C0140_01",$A:$I,9,0),"")&amp;IF(VLOOKUP("AMLA_VR_AML.07.05_C0140_02",$A:$I,9,0)&lt;&gt;"OK",CHAR(10)&amp;VLOOKUP("AMLA_VR_AML.07.05_C0140_02",$A:$I,9,0),""))=0,"OK",MID(IF(VLOOKUP("AMLA_VR_AML.07.05_C0140_01",$A:$I,9,0)&lt;&gt;"OK",CHAR(10)&amp;VLOOKUP("AMLA_VR_AML.07.05_C0140_01",$A:$I,9,0),"")&amp;IF(VLOOKUP("AMLA_VR_AML.07.05_C0140_02",$A:$I,9,0)&lt;&gt;"OK",CHAR(10)&amp;VLOOKUP("AMLA_VR_AML.07.05_C0140_02",$A:$I,9,0),""),2,3000))</f>
        <v>OK</v>
      </c>
      <c r="K567" s="158" t="s">
        <v>1775</v>
      </c>
    </row>
    <row r="568" spans="1:11">
      <c r="A568" s="159" t="str">
        <f>"AMLA_VR_" &amp; B568 &amp; "_" &amp; C568 &amp; "_" &amp; TEXT(COUNTIFS($B$2:B568, B568, $C$2:C568, C568), "00")</f>
        <v>AMLA_VR_AML.07.05_C0150_01</v>
      </c>
      <c r="B568" s="157" t="s">
        <v>393</v>
      </c>
      <c r="C568" s="157" t="s">
        <v>95</v>
      </c>
      <c r="D568" s="157" t="s">
        <v>1563</v>
      </c>
      <c r="E568" s="160" t="str" cm="1">
        <f t="array" aca="1" ref="E568" ca="1">IF(C568="", INDIRECT("'"&amp;B568&amp;"'!B3"), INDEX(INDIRECT("'"&amp;B568&amp;"'!5:5"), COLUMN(INDIRECT("'"&amp;B568&amp;"'!"&amp;D568))))</f>
        <v>STRs Submitted (Total)</v>
      </c>
      <c r="F568" s="157" t="s">
        <v>1772</v>
      </c>
      <c r="G568" s="157" t="s">
        <v>1773</v>
      </c>
      <c r="H568" s="157" t="s">
        <v>1834</v>
      </c>
      <c r="I568" s="157" t="str">
        <f>IF('AML.07.05'!$P$11&lt;0, $G568 &amp; ": " &amp; $H568, "OK")</f>
        <v>OK</v>
      </c>
      <c r="J568" s="171" t="str">
        <f>IF(LEN(IF(VLOOKUP("AMLA_VR_AML.07.05_C0150_01",$A:$I,9,0)&lt;&gt;"OK",CHAR(10)&amp;VLOOKUP("AMLA_VR_AML.07.05_C0150_01",$A:$I,9,0),"")&amp;IF(VLOOKUP("AMLA_VR_AML.07.05_C0150_02",$A:$I,9,0)&lt;&gt;"OK",CHAR(10)&amp;VLOOKUP("AMLA_VR_AML.07.05_C0150_02",$A:$I,9,0),""))=0,"OK",MID(IF(VLOOKUP("AMLA_VR_AML.07.05_C0150_01",$A:$I,9,0)&lt;&gt;"OK",CHAR(10)&amp;VLOOKUP("AMLA_VR_AML.07.05_C0150_01",$A:$I,9,0),"")&amp;IF(VLOOKUP("AMLA_VR_AML.07.05_C0150_02",$A:$I,9,0)&lt;&gt;"OK",CHAR(10)&amp;VLOOKUP("AMLA_VR_AML.07.05_C0150_02",$A:$I,9,0),""),2,3000))</f>
        <v>OK</v>
      </c>
      <c r="K568" s="158" t="s">
        <v>1775</v>
      </c>
    </row>
    <row r="569" spans="1:11">
      <c r="A569" s="159" t="str">
        <f>"AMLA_VR_" &amp; B569 &amp; "_" &amp; C569 &amp; "_" &amp; TEXT(COUNTIFS($B$2:B569, B569, $C$2:C569, C569), "00")</f>
        <v>AMLA_VR_AML.07.05_C0150_02</v>
      </c>
      <c r="B569" s="160" t="s">
        <v>393</v>
      </c>
      <c r="C569" s="160" t="s">
        <v>95</v>
      </c>
      <c r="D569" s="160" t="s">
        <v>1563</v>
      </c>
      <c r="E569" s="160" t="str" cm="1">
        <f t="array" aca="1" ref="E569" ca="1">IF(C569="", INDIRECT("'"&amp;B569&amp;"'!B3"), INDEX(INDIRECT("'"&amp;B569&amp;"'!5:5"), COLUMN(INDIRECT("'"&amp;B569&amp;"'!"&amp;D569))))</f>
        <v>STRs Submitted (Total)</v>
      </c>
      <c r="F569" s="160" t="s">
        <v>1776</v>
      </c>
      <c r="G569" s="160" t="s">
        <v>1773</v>
      </c>
      <c r="H569" s="160" t="s">
        <v>1816</v>
      </c>
      <c r="I569" s="160" t="str">
        <f>IF(TRIM(SUBSTITUTE('AML.07.05'!$P$11&amp;"",CHAR(160),""))="","OK",IF(OR(NOT(ISNUMBER('AML.07.05'!$P$11)),IFERROR(INT('AML.07.05'!$P$11)&lt;&gt;'AML.07.05'!$P$11,TRUE)),$G569&amp;": "&amp;$H569,"OK"))</f>
        <v>OK</v>
      </c>
      <c r="J569" s="57" t="str">
        <f>IF(LEN(IF(VLOOKUP("AMLA_VR_AML.07.05_C0150_01",$A:$I,9,0)&lt;&gt;"OK",CHAR(10)&amp;VLOOKUP("AMLA_VR_AML.07.05_C0150_01",$A:$I,9,0),"")&amp;IF(VLOOKUP("AMLA_VR_AML.07.05_C0150_02",$A:$I,9,0)&lt;&gt;"OK",CHAR(10)&amp;VLOOKUP("AMLA_VR_AML.07.05_C0150_02",$A:$I,9,0),""))=0,"OK",MID(IF(VLOOKUP("AMLA_VR_AML.07.05_C0150_01",$A:$I,9,0)&lt;&gt;"OK",CHAR(10)&amp;VLOOKUP("AMLA_VR_AML.07.05_C0150_01",$A:$I,9,0),"")&amp;IF(VLOOKUP("AMLA_VR_AML.07.05_C0150_02",$A:$I,9,0)&lt;&gt;"OK",CHAR(10)&amp;VLOOKUP("AMLA_VR_AML.07.05_C0150_02",$A:$I,9,0),""),2,3000))</f>
        <v>OK</v>
      </c>
      <c r="K569" s="161" t="s">
        <v>1775</v>
      </c>
    </row>
    <row r="570" spans="1:11">
      <c r="A570" s="159" t="str">
        <f>"AMLA_VR_" &amp; B570 &amp; "_" &amp; C570 &amp; "_" &amp; TEXT(COUNTIFS($B$2:B570, B570, $C$2:C570, C570), "00")</f>
        <v>AMLA_VR_AML.07.06_C0010_01</v>
      </c>
      <c r="B570" s="160" t="s">
        <v>415</v>
      </c>
      <c r="C570" s="160" t="s">
        <v>81</v>
      </c>
      <c r="D570" s="160" t="s">
        <v>1549</v>
      </c>
      <c r="E570" s="160" t="str" cm="1">
        <f t="array" aca="1" ref="E570" ca="1">IF(C570="", INDIRECT("'"&amp;B570&amp;"'!B3"), INDEX(INDIRECT("'"&amp;B570&amp;"'!5:5"), COLUMN(INDIRECT("'"&amp;B570&amp;"'!"&amp;D570))))</f>
        <v>TFS Implementation Time (Hours)</v>
      </c>
      <c r="F570" s="160" t="s">
        <v>1772</v>
      </c>
      <c r="G570" s="160" t="s">
        <v>1773</v>
      </c>
      <c r="H570" s="160" t="s">
        <v>1815</v>
      </c>
      <c r="I570" s="160" t="str">
        <f>IF('AML.07.06'!$B$11&lt;0, $G570 &amp; ": " &amp; $H570, "OK")</f>
        <v>OK</v>
      </c>
      <c r="J570" s="57" t="str">
        <f>IF(LEN(IF(VLOOKUP("AMLA_VR_AML.07.06_C0010_01",$A:$I,9,0)&lt;&gt;"OK",CHAR(10)&amp;VLOOKUP("AMLA_VR_AML.07.06_C0010_01",$A:$I,9,0),"")&amp;IF(VLOOKUP("AMLA_VR_AML.07.06_C0010_02",$A:$I,9,0)&lt;&gt;"OK",CHAR(10)&amp;VLOOKUP("AMLA_VR_AML.07.06_C0010_02",$A:$I,9,0),""))=0,"OK",MID(IF(VLOOKUP("AMLA_VR_AML.07.06_C0010_01",$A:$I,9,0)&lt;&gt;"OK",CHAR(10)&amp;VLOOKUP("AMLA_VR_AML.07.06_C0010_01",$A:$I,9,0),"")&amp;IF(VLOOKUP("AMLA_VR_AML.07.06_C0010_02",$A:$I,9,0)&lt;&gt;"OK",CHAR(10)&amp;VLOOKUP("AMLA_VR_AML.07.06_C0010_02",$A:$I,9,0),""),2,3000))</f>
        <v>OK</v>
      </c>
      <c r="K570" s="161" t="s">
        <v>1775</v>
      </c>
    </row>
    <row r="571" spans="1:11">
      <c r="A571" s="159" t="str">
        <f>"AMLA_VR_" &amp; B571 &amp; "_" &amp; C571 &amp; "_" &amp; TEXT(COUNTIFS($B$2:B571, B571, $C$2:C571, C571), "00")</f>
        <v>AMLA_VR_AML.07.06_C0010_02</v>
      </c>
      <c r="B571" s="157" t="s">
        <v>415</v>
      </c>
      <c r="C571" s="157" t="s">
        <v>81</v>
      </c>
      <c r="D571" s="157" t="s">
        <v>1549</v>
      </c>
      <c r="E571" s="160" t="str" cm="1">
        <f t="array" aca="1" ref="E571" ca="1">IF(C571="", INDIRECT("'"&amp;B571&amp;"'!B3"), INDEX(INDIRECT("'"&amp;B571&amp;"'!5:5"), COLUMN(INDIRECT("'"&amp;B571&amp;"'!"&amp;D571))))</f>
        <v>TFS Implementation Time (Hours)</v>
      </c>
      <c r="F571" s="157" t="s">
        <v>1776</v>
      </c>
      <c r="G571" s="157" t="s">
        <v>1773</v>
      </c>
      <c r="H571" s="157" t="s">
        <v>1816</v>
      </c>
      <c r="I571" s="157" t="str">
        <f>IF(TRIM(SUBSTITUTE('AML.07.06'!$B$11&amp;"",CHAR(160),""))="","OK",IF(OR(NOT(ISNUMBER('AML.07.06'!$B$11)),IFERROR(INT('AML.07.06'!$B$11)&lt;&gt;'AML.07.06'!$B$11,TRUE)),$G571&amp;": "&amp;$H571,"OK"))</f>
        <v>OK</v>
      </c>
      <c r="J571" s="171" t="str">
        <f>IF(LEN(IF(VLOOKUP("AMLA_VR_AML.07.06_C0010_01",$A:$I,9,0)&lt;&gt;"OK",CHAR(10)&amp;VLOOKUP("AMLA_VR_AML.07.06_C0010_01",$A:$I,9,0),"")&amp;IF(VLOOKUP("AMLA_VR_AML.07.06_C0010_02",$A:$I,9,0)&lt;&gt;"OK",CHAR(10)&amp;VLOOKUP("AMLA_VR_AML.07.06_C0010_02",$A:$I,9,0),""))=0,"OK",MID(IF(VLOOKUP("AMLA_VR_AML.07.06_C0010_01",$A:$I,9,0)&lt;&gt;"OK",CHAR(10)&amp;VLOOKUP("AMLA_VR_AML.07.06_C0010_01",$A:$I,9,0),"")&amp;IF(VLOOKUP("AMLA_VR_AML.07.06_C0010_02",$A:$I,9,0)&lt;&gt;"OK",CHAR(10)&amp;VLOOKUP("AMLA_VR_AML.07.06_C0010_02",$A:$I,9,0),""),2,3000))</f>
        <v>OK</v>
      </c>
      <c r="K571" s="158" t="s">
        <v>1775</v>
      </c>
    </row>
    <row r="572" spans="1:11">
      <c r="A572" s="159" t="str">
        <f>"AMLA_VR_" &amp; B572 &amp; "_" &amp; C572 &amp; "_" &amp; TEXT(COUNTIFS($B$2:B572, B572, $C$2:C572, C572), "00")</f>
        <v>AMLA_VR_AML.07.06_C0020_01</v>
      </c>
      <c r="B572" s="157" t="s">
        <v>415</v>
      </c>
      <c r="C572" s="157" t="s">
        <v>82</v>
      </c>
      <c r="D572" s="157" t="s">
        <v>1550</v>
      </c>
      <c r="E572" s="160" t="str" cm="1">
        <f t="array" aca="1" ref="E572" ca="1">IF(C572="", INDIRECT("'"&amp;B572&amp;"'!B3"), INDEX(INDIRECT("'"&amp;B572&amp;"'!5:5"), COLUMN(INDIRECT("'"&amp;B572&amp;"'!"&amp;D572))))</f>
        <v>Outbound Transfers with Information Requests (RFI)</v>
      </c>
      <c r="F572" s="157" t="s">
        <v>1772</v>
      </c>
      <c r="G572" s="157" t="s">
        <v>1773</v>
      </c>
      <c r="H572" s="157" t="s">
        <v>1819</v>
      </c>
      <c r="I572" s="157" t="str">
        <f>IF('AML.07.06'!$C$11&lt;0, $G572 &amp; ": " &amp; $H572, "OK")</f>
        <v>OK</v>
      </c>
      <c r="J572" s="171" t="str">
        <f>IF(LEN(IF(VLOOKUP("AMLA_VR_AML.07.06_C0020_01",$A:$I,9,0)&lt;&gt;"OK",CHAR(10)&amp;VLOOKUP("AMLA_VR_AML.07.06_C0020_01",$A:$I,9,0),"")&amp;IF(VLOOKUP("AMLA_VR_AML.07.06_C0020_02",$A:$I,9,0)&lt;&gt;"OK",CHAR(10)&amp;VLOOKUP("AMLA_VR_AML.07.06_C0020_02",$A:$I,9,0),""))=0,"OK",MID(IF(VLOOKUP("AMLA_VR_AML.07.06_C0020_01",$A:$I,9,0)&lt;&gt;"OK",CHAR(10)&amp;VLOOKUP("AMLA_VR_AML.07.06_C0020_01",$A:$I,9,0),"")&amp;IF(VLOOKUP("AMLA_VR_AML.07.06_C0020_02",$A:$I,9,0)&lt;&gt;"OK",CHAR(10)&amp;VLOOKUP("AMLA_VR_AML.07.06_C0020_02",$A:$I,9,0),""),2,3000))</f>
        <v>OK</v>
      </c>
      <c r="K572" s="158" t="s">
        <v>1775</v>
      </c>
    </row>
    <row r="573" spans="1:11">
      <c r="A573" s="159" t="str">
        <f>"AMLA_VR_" &amp; B573 &amp; "_" &amp; C573 &amp; "_" &amp; TEXT(COUNTIFS($B$2:B573, B573, $C$2:C573, C573), "00")</f>
        <v>AMLA_VR_AML.07.06_C0020_02</v>
      </c>
      <c r="B573" s="160" t="s">
        <v>415</v>
      </c>
      <c r="C573" s="160" t="s">
        <v>82</v>
      </c>
      <c r="D573" s="160" t="s">
        <v>1550</v>
      </c>
      <c r="E573" s="160" t="str" cm="1">
        <f t="array" aca="1" ref="E573" ca="1">IF(C573="", INDIRECT("'"&amp;B573&amp;"'!B3"), INDEX(INDIRECT("'"&amp;B573&amp;"'!5:5"), COLUMN(INDIRECT("'"&amp;B573&amp;"'!"&amp;D573))))</f>
        <v>Outbound Transfers with Information Requests (RFI)</v>
      </c>
      <c r="F573" s="160" t="s">
        <v>1776</v>
      </c>
      <c r="G573" s="160" t="s">
        <v>1773</v>
      </c>
      <c r="H573" s="160" t="s">
        <v>1816</v>
      </c>
      <c r="I573" s="160" t="str">
        <f>IF(TRIM(SUBSTITUTE('AML.07.06'!$C$11&amp;"",CHAR(160),""))="","OK",IF(OR(NOT(ISNUMBER('AML.07.06'!$C$11)),IFERROR(INT('AML.07.06'!$C$11)&lt;&gt;'AML.07.06'!$C$11,TRUE)),$G573&amp;": "&amp;$H573,"OK"))</f>
        <v>OK</v>
      </c>
      <c r="J573" s="57" t="str">
        <f>IF(LEN(IF(VLOOKUP("AMLA_VR_AML.07.06_C0020_01",$A:$I,9,0)&lt;&gt;"OK",CHAR(10)&amp;VLOOKUP("AMLA_VR_AML.07.06_C0020_01",$A:$I,9,0),"")&amp;IF(VLOOKUP("AMLA_VR_AML.07.06_C0020_02",$A:$I,9,0)&lt;&gt;"OK",CHAR(10)&amp;VLOOKUP("AMLA_VR_AML.07.06_C0020_02",$A:$I,9,0),""))=0,"OK",MID(IF(VLOOKUP("AMLA_VR_AML.07.06_C0020_01",$A:$I,9,0)&lt;&gt;"OK",CHAR(10)&amp;VLOOKUP("AMLA_VR_AML.07.06_C0020_01",$A:$I,9,0),"")&amp;IF(VLOOKUP("AMLA_VR_AML.07.06_C0020_02",$A:$I,9,0)&lt;&gt;"OK",CHAR(10)&amp;VLOOKUP("AMLA_VR_AML.07.06_C0020_02",$A:$I,9,0),""),2,3000))</f>
        <v>OK</v>
      </c>
      <c r="K573" s="161" t="s">
        <v>1775</v>
      </c>
    </row>
    <row r="574" spans="1:11">
      <c r="A574" s="159" t="str">
        <f>"AMLA_VR_" &amp; B574 &amp; "_" &amp; C574 &amp; "_" &amp; TEXT(COUNTIFS($B$2:B574, B574, $C$2:C574, C574), "00")</f>
        <v>AMLA_VR_AML.07.06_C0030_01</v>
      </c>
      <c r="B574" s="157" t="s">
        <v>415</v>
      </c>
      <c r="C574" s="157" t="s">
        <v>83</v>
      </c>
      <c r="D574" s="157" t="s">
        <v>1551</v>
      </c>
      <c r="E574" s="160" t="str" cm="1">
        <f t="array" aca="1" ref="E574" ca="1">IF(C574="", INDIRECT("'"&amp;B574&amp;"'!B3"), INDEX(INDIRECT("'"&amp;B574&amp;"'!5:5"), COLUMN(INDIRECT("'"&amp;B574&amp;"'!"&amp;D574))))</f>
        <v>Total Outbound Transfers</v>
      </c>
      <c r="F574" s="157" t="s">
        <v>1772</v>
      </c>
      <c r="G574" s="157" t="s">
        <v>1773</v>
      </c>
      <c r="H574" s="157" t="s">
        <v>1820</v>
      </c>
      <c r="I574" s="157" t="str">
        <f>IF('AML.07.06'!$D$11&lt;0, $G574 &amp; ": " &amp; $H574, "OK")</f>
        <v>OK</v>
      </c>
      <c r="J574" s="171" t="str">
        <f>IF(LEN(IF(VLOOKUP("AMLA_VR_AML.07.06_C0030_01",$A:$I,9,0)&lt;&gt;"OK",CHAR(10)&amp;VLOOKUP("AMLA_VR_AML.07.06_C0030_01",$A:$I,9,0),"")&amp;IF(VLOOKUP("AMLA_VR_AML.07.06_C0030_02",$A:$I,9,0)&lt;&gt;"OK",CHAR(10)&amp;VLOOKUP("AMLA_VR_AML.07.06_C0030_02",$A:$I,9,0),"")&amp;IF(VLOOKUP("AMLA_VR_AML.07.06_C0030_03",$A:$I,9,0)&lt;&gt;"OK",CHAR(10)&amp;VLOOKUP("AMLA_VR_AML.07.06_C0030_03",$A:$I,9,0),""))=0,"OK",MID(IF(VLOOKUP("AMLA_VR_AML.07.06_C0030_01",$A:$I,9,0)&lt;&gt;"OK",CHAR(10)&amp;VLOOKUP("AMLA_VR_AML.07.06_C0030_01",$A:$I,9,0),"")&amp;IF(VLOOKUP("AMLA_VR_AML.07.06_C0030_02",$A:$I,9,0)&lt;&gt;"OK",CHAR(10)&amp;VLOOKUP("AMLA_VR_AML.07.06_C0030_02",$A:$I,9,0),"")&amp;IF(VLOOKUP("AMLA_VR_AML.07.06_C0030_03",$A:$I,9,0)&lt;&gt;"OK",CHAR(10)&amp;VLOOKUP("AMLA_VR_AML.07.06_C0030_03",$A:$I,9,0),""),2,3000))</f>
        <v>OK</v>
      </c>
      <c r="K574" s="158" t="s">
        <v>1775</v>
      </c>
    </row>
    <row r="575" spans="1:11">
      <c r="A575" s="159" t="str">
        <f>"AMLA_VR_" &amp; B575 &amp; "_" &amp; C575 &amp; "_" &amp; TEXT(COUNTIFS($B$2:B575, B575, $C$2:C575, C575), "00")</f>
        <v>AMLA_VR_AML.07.06_C0030_02</v>
      </c>
      <c r="B575" s="157" t="s">
        <v>415</v>
      </c>
      <c r="C575" s="157" t="s">
        <v>83</v>
      </c>
      <c r="D575" s="157" t="s">
        <v>1551</v>
      </c>
      <c r="E575" s="160" t="str" cm="1">
        <f t="array" aca="1" ref="E575" ca="1">IF(C575="", INDIRECT("'"&amp;B575&amp;"'!B3"), INDEX(INDIRECT("'"&amp;B575&amp;"'!5:5"), COLUMN(INDIRECT("'"&amp;B575&amp;"'!"&amp;D575))))</f>
        <v>Total Outbound Transfers</v>
      </c>
      <c r="F575" s="157" t="s">
        <v>1776</v>
      </c>
      <c r="G575" s="157" t="s">
        <v>1773</v>
      </c>
      <c r="H575" s="157" t="s">
        <v>1816</v>
      </c>
      <c r="I575" s="157" t="str">
        <f>IF(TRIM(SUBSTITUTE('AML.07.06'!$D$11&amp;"",CHAR(160),""))="","OK",IF(OR(NOT(ISNUMBER('AML.07.06'!$D$11)),IFERROR(INT('AML.07.06'!$D$11)&lt;&gt;'AML.07.06'!$D$11,TRUE)),$G575&amp;": "&amp;$H575,"OK"))</f>
        <v>OK</v>
      </c>
      <c r="J575" s="171" t="str">
        <f>IF(LEN(IF(VLOOKUP("AMLA_VR_AML.07.06_C0030_01",$A:$I,9,0)&lt;&gt;"OK",CHAR(10)&amp;VLOOKUP("AMLA_VR_AML.07.06_C0030_01",$A:$I,9,0),"")&amp;IF(VLOOKUP("AMLA_VR_AML.07.06_C0030_02",$A:$I,9,0)&lt;&gt;"OK",CHAR(10)&amp;VLOOKUP("AMLA_VR_AML.07.06_C0030_02",$A:$I,9,0),"")&amp;IF(VLOOKUP("AMLA_VR_AML.07.06_C0030_03",$A:$I,9,0)&lt;&gt;"OK",CHAR(10)&amp;VLOOKUP("AMLA_VR_AML.07.06_C0030_03",$A:$I,9,0),""))=0,"OK",MID(IF(VLOOKUP("AMLA_VR_AML.07.06_C0030_01",$A:$I,9,0)&lt;&gt;"OK",CHAR(10)&amp;VLOOKUP("AMLA_VR_AML.07.06_C0030_01",$A:$I,9,0),"")&amp;IF(VLOOKUP("AMLA_VR_AML.07.06_C0030_02",$A:$I,9,0)&lt;&gt;"OK",CHAR(10)&amp;VLOOKUP("AMLA_VR_AML.07.06_C0030_02",$A:$I,9,0),"")&amp;IF(VLOOKUP("AMLA_VR_AML.07.06_C0030_03",$A:$I,9,0)&lt;&gt;"OK",CHAR(10)&amp;VLOOKUP("AMLA_VR_AML.07.06_C0030_03",$A:$I,9,0),""),2,3000))</f>
        <v>OK</v>
      </c>
      <c r="K575" s="158" t="s">
        <v>1775</v>
      </c>
    </row>
    <row r="576" spans="1:11">
      <c r="A576" s="159" t="str">
        <f>"AMLA_VR_" &amp; B576 &amp; "_" &amp; C576 &amp; "_" &amp; TEXT(COUNTIFS($B$2:B576, B576, $C$2:C576, C576), "00")</f>
        <v>AMLA_VR_AML.07.06_C0030_03</v>
      </c>
      <c r="B576" s="160" t="s">
        <v>415</v>
      </c>
      <c r="C576" s="160" t="s">
        <v>83</v>
      </c>
      <c r="D576" s="160" t="s">
        <v>1551</v>
      </c>
      <c r="E576" s="160" t="str" cm="1">
        <f t="array" aca="1" ref="E576" ca="1">IF(C576="", INDIRECT("'"&amp;B576&amp;"'!B3"), INDEX(INDIRECT("'"&amp;B576&amp;"'!5:5"), COLUMN(INDIRECT("'"&amp;B576&amp;"'!"&amp;D576))))</f>
        <v>Total Outbound Transfers</v>
      </c>
      <c r="F576" s="160" t="s">
        <v>1772</v>
      </c>
      <c r="G576" s="160" t="s">
        <v>1813</v>
      </c>
      <c r="H576" s="160" t="s">
        <v>1932</v>
      </c>
      <c r="I576" s="160" t="str">
        <f>IF('AML.07.06'!$D$11 &lt; 'AML.07.06'!$C$11, $G576 &amp; ": " &amp; $H576, "OK")</f>
        <v>OK</v>
      </c>
      <c r="J576" s="57" t="str">
        <f>IF(LEN(IF(VLOOKUP("AMLA_VR_AML.07.06_C0030_01",$A:$I,9,0)&lt;&gt;"OK",CHAR(10)&amp;VLOOKUP("AMLA_VR_AML.07.06_C0030_01",$A:$I,9,0),"")&amp;IF(VLOOKUP("AMLA_VR_AML.07.06_C0030_02",$A:$I,9,0)&lt;&gt;"OK",CHAR(10)&amp;VLOOKUP("AMLA_VR_AML.07.06_C0030_02",$A:$I,9,0),"")&amp;IF(VLOOKUP("AMLA_VR_AML.07.06_C0030_03",$A:$I,9,0)&lt;&gt;"OK",CHAR(10)&amp;VLOOKUP("AMLA_VR_AML.07.06_C0030_03",$A:$I,9,0),""))=0,"OK",MID(IF(VLOOKUP("AMLA_VR_AML.07.06_C0030_01",$A:$I,9,0)&lt;&gt;"OK",CHAR(10)&amp;VLOOKUP("AMLA_VR_AML.07.06_C0030_01",$A:$I,9,0),"")&amp;IF(VLOOKUP("AMLA_VR_AML.07.06_C0030_02",$A:$I,9,0)&lt;&gt;"OK",CHAR(10)&amp;VLOOKUP("AMLA_VR_AML.07.06_C0030_02",$A:$I,9,0),"")&amp;IF(VLOOKUP("AMLA_VR_AML.07.06_C0030_03",$A:$I,9,0)&lt;&gt;"OK",CHAR(10)&amp;VLOOKUP("AMLA_VR_AML.07.06_C0030_03",$A:$I,9,0),""),2,3000))</f>
        <v>OK</v>
      </c>
      <c r="K576" s="161" t="s">
        <v>1775</v>
      </c>
    </row>
    <row r="577" spans="1:11">
      <c r="A577" s="159" t="str">
        <f>"AMLA_VR_" &amp; B577 &amp; "_" &amp; C577 &amp; "_" &amp; TEXT(COUNTIFS($B$2:B577, B577, $C$2:C577, C577), "00")</f>
        <v>AMLA_VR_AML.07.06_C0040_01</v>
      </c>
      <c r="B577" s="160" t="s">
        <v>415</v>
      </c>
      <c r="C577" s="160" t="s">
        <v>84</v>
      </c>
      <c r="D577" s="160" t="s">
        <v>1552</v>
      </c>
      <c r="E577" s="160" t="str" cm="1">
        <f t="array" aca="1" ref="E577" ca="1">IF(C577="", INDIRECT("'"&amp;B577&amp;"'!B3"), INDEX(INDIRECT("'"&amp;B577&amp;"'!5:5"), COLUMN(INDIRECT("'"&amp;B577&amp;"'!"&amp;D577))))</f>
        <v>Rejected/Returned Outbound Transfers (%)</v>
      </c>
      <c r="F577" s="160" t="s">
        <v>1772</v>
      </c>
      <c r="G577" s="160" t="s">
        <v>1773</v>
      </c>
      <c r="H577" s="160" t="s">
        <v>1821</v>
      </c>
      <c r="I577" s="160" t="str">
        <f>IF('AML.07.06'!$E$11&lt;0, $G577 &amp; ": " &amp; $H577, "OK")</f>
        <v>OK</v>
      </c>
      <c r="J577" s="57" t="str">
        <f>IF(LEN(IF(VLOOKUP("AMLA_VR_AML.07.06_C0040_01",$A:$I,9,0)&lt;&gt;"OK",CHAR(10)&amp;VLOOKUP("AMLA_VR_AML.07.06_C0040_01",$A:$I,9,0),"")&amp;IF(VLOOKUP("AMLA_VR_AML.07.06_C0040_02",$A:$I,9,0)&lt;&gt;"OK",CHAR(10)&amp;VLOOKUP("AMLA_VR_AML.07.06_C0040_02",$A:$I,9,0),"")&amp;IF(VLOOKUP("AMLA_VR_AML.07.06_C0040_03",$A:$I,9,0)&lt;&gt;"OK",CHAR(10)&amp;VLOOKUP("AMLA_VR_AML.07.06_C0040_03",$A:$I,9,0),""))=0,"OK",MID(IF(VLOOKUP("AMLA_VR_AML.07.06_C0040_01",$A:$I,9,0)&lt;&gt;"OK",CHAR(10)&amp;VLOOKUP("AMLA_VR_AML.07.06_C0040_01",$A:$I,9,0),"")&amp;IF(VLOOKUP("AMLA_VR_AML.07.06_C0040_02",$A:$I,9,0)&lt;&gt;"OK",CHAR(10)&amp;VLOOKUP("AMLA_VR_AML.07.06_C0040_02",$A:$I,9,0),"")&amp;IF(VLOOKUP("AMLA_VR_AML.07.06_C0040_03",$A:$I,9,0)&lt;&gt;"OK",CHAR(10)&amp;VLOOKUP("AMLA_VR_AML.07.06_C0040_03",$A:$I,9,0),""),2,3000))</f>
        <v>OK</v>
      </c>
      <c r="K577" s="161" t="s">
        <v>1775</v>
      </c>
    </row>
    <row r="578" spans="1:11">
      <c r="A578" s="159" t="str">
        <f>"AMLA_VR_" &amp; B578 &amp; "_" &amp; C578 &amp; "_" &amp; TEXT(COUNTIFS($B$2:B578, B578, $C$2:C578, C578), "00")</f>
        <v>AMLA_VR_AML.07.06_C0040_02</v>
      </c>
      <c r="B578" s="157" t="s">
        <v>415</v>
      </c>
      <c r="C578" s="157" t="s">
        <v>84</v>
      </c>
      <c r="D578" s="157" t="s">
        <v>1552</v>
      </c>
      <c r="E578" s="160" t="str" cm="1">
        <f t="array" aca="1" ref="E578" ca="1">IF(C578="", INDIRECT("'"&amp;B578&amp;"'!B3"), INDEX(INDIRECT("'"&amp;B578&amp;"'!5:5"), COLUMN(INDIRECT("'"&amp;B578&amp;"'!"&amp;D578))))</f>
        <v>Rejected/Returned Outbound Transfers (%)</v>
      </c>
      <c r="F578" s="157" t="s">
        <v>1772</v>
      </c>
      <c r="G578" s="157" t="s">
        <v>1773</v>
      </c>
      <c r="H578" s="157" t="s">
        <v>1920</v>
      </c>
      <c r="I578" s="157" t="str">
        <f>IF('AML.07.06'!$E$11&gt;1, $G578 &amp; ": " &amp; $H578, "OK")</f>
        <v>OK</v>
      </c>
      <c r="J578" s="171" t="str">
        <f>IF(LEN(IF(VLOOKUP("AMLA_VR_AML.07.06_C0040_01",$A:$I,9,0)&lt;&gt;"OK",CHAR(10)&amp;VLOOKUP("AMLA_VR_AML.07.06_C0040_01",$A:$I,9,0),"")&amp;IF(VLOOKUP("AMLA_VR_AML.07.06_C0040_02",$A:$I,9,0)&lt;&gt;"OK",CHAR(10)&amp;VLOOKUP("AMLA_VR_AML.07.06_C0040_02",$A:$I,9,0),"")&amp;IF(VLOOKUP("AMLA_VR_AML.07.06_C0040_03",$A:$I,9,0)&lt;&gt;"OK",CHAR(10)&amp;VLOOKUP("AMLA_VR_AML.07.06_C0040_03",$A:$I,9,0),""))=0,"OK",MID(IF(VLOOKUP("AMLA_VR_AML.07.06_C0040_01",$A:$I,9,0)&lt;&gt;"OK",CHAR(10)&amp;VLOOKUP("AMLA_VR_AML.07.06_C0040_01",$A:$I,9,0),"")&amp;IF(VLOOKUP("AMLA_VR_AML.07.06_C0040_02",$A:$I,9,0)&lt;&gt;"OK",CHAR(10)&amp;VLOOKUP("AMLA_VR_AML.07.06_C0040_02",$A:$I,9,0),"")&amp;IF(VLOOKUP("AMLA_VR_AML.07.06_C0040_03",$A:$I,9,0)&lt;&gt;"OK",CHAR(10)&amp;VLOOKUP("AMLA_VR_AML.07.06_C0040_03",$A:$I,9,0),""),2,3000))</f>
        <v>OK</v>
      </c>
      <c r="K578" s="158" t="s">
        <v>1775</v>
      </c>
    </row>
    <row r="579" spans="1:11">
      <c r="A579" s="159" t="str">
        <f>"AMLA_VR_" &amp; B579 &amp; "_" &amp; C579 &amp; "_" &amp; TEXT(COUNTIFS($B$2:B579, B579, $C$2:C579, C579), "00")</f>
        <v>AMLA_VR_AML.07.06_C0040_03</v>
      </c>
      <c r="B579" s="160" t="s">
        <v>415</v>
      </c>
      <c r="C579" s="160" t="s">
        <v>84</v>
      </c>
      <c r="D579" s="160" t="s">
        <v>1552</v>
      </c>
      <c r="E579" s="160" t="str" cm="1">
        <f t="array" aca="1" ref="E579" ca="1">IF(C579="", INDIRECT("'"&amp;B579&amp;"'!B3"), INDEX(INDIRECT("'"&amp;B579&amp;"'!5:5"), COLUMN(INDIRECT("'"&amp;B579&amp;"'!"&amp;D579))))</f>
        <v>Rejected/Returned Outbound Transfers (%)</v>
      </c>
      <c r="F579" s="160" t="s">
        <v>1776</v>
      </c>
      <c r="G579" s="160" t="s">
        <v>1773</v>
      </c>
      <c r="H579" s="160" t="s">
        <v>1851</v>
      </c>
      <c r="I579" s="160" t="str">
        <f>IF(TRIM(SUBSTITUTE('AML.07.06'!$E$11&amp;"",CHAR(160),""))="","OK",IF(OR(NOT(ISNUMBER('AML.07.06'!$E$11)),'AML.07.06'!$E$11&lt;0,'AML.07.06'!$E$11&gt;1),$G579&amp;": "&amp;$H579,"OK"))</f>
        <v>OK</v>
      </c>
      <c r="J579" s="57" t="str">
        <f>IF(LEN(IF(VLOOKUP("AMLA_VR_AML.07.06_C0040_01",$A:$I,9,0)&lt;&gt;"OK",CHAR(10)&amp;VLOOKUP("AMLA_VR_AML.07.06_C0040_01",$A:$I,9,0),"")&amp;IF(VLOOKUP("AMLA_VR_AML.07.06_C0040_02",$A:$I,9,0)&lt;&gt;"OK",CHAR(10)&amp;VLOOKUP("AMLA_VR_AML.07.06_C0040_02",$A:$I,9,0),"")&amp;IF(VLOOKUP("AMLA_VR_AML.07.06_C0040_03",$A:$I,9,0)&lt;&gt;"OK",CHAR(10)&amp;VLOOKUP("AMLA_VR_AML.07.06_C0040_03",$A:$I,9,0),""))=0,"OK",MID(IF(VLOOKUP("AMLA_VR_AML.07.06_C0040_01",$A:$I,9,0)&lt;&gt;"OK",CHAR(10)&amp;VLOOKUP("AMLA_VR_AML.07.06_C0040_01",$A:$I,9,0),"")&amp;IF(VLOOKUP("AMLA_VR_AML.07.06_C0040_02",$A:$I,9,0)&lt;&gt;"OK",CHAR(10)&amp;VLOOKUP("AMLA_VR_AML.07.06_C0040_02",$A:$I,9,0),"")&amp;IF(VLOOKUP("AMLA_VR_AML.07.06_C0040_03",$A:$I,9,0)&lt;&gt;"OK",CHAR(10)&amp;VLOOKUP("AMLA_VR_AML.07.06_C0040_03",$A:$I,9,0),""),2,3000))</f>
        <v>OK</v>
      </c>
      <c r="K579" s="161" t="s">
        <v>1775</v>
      </c>
    </row>
    <row r="580" spans="1:11">
      <c r="A580" s="159" t="str">
        <f>"AMLA_VR_" &amp; B580 &amp; "_" &amp; C580 &amp; "_" &amp; TEXT(COUNTIFS($B$2:B580, B580, $C$2:C580, C580), "00")</f>
        <v>AMLA_VR_AML.07.07_C0010_01</v>
      </c>
      <c r="B580" s="160" t="s">
        <v>421</v>
      </c>
      <c r="C580" s="160" t="s">
        <v>81</v>
      </c>
      <c r="D580" s="160" t="s">
        <v>1549</v>
      </c>
      <c r="E580" s="160" t="str" cm="1">
        <f t="array" aca="1" ref="E580" ca="1">IF(C580="", INDIRECT("'"&amp;B580&amp;"'!B3"), INDEX(INDIRECT("'"&amp;B580&amp;"'!5:5"), COLUMN(INDIRECT("'"&amp;B580&amp;"'!"&amp;D580))))</f>
        <v>Group Reporting - Group Entities Reporting on CDD</v>
      </c>
      <c r="F580" s="160" t="s">
        <v>1772</v>
      </c>
      <c r="G580" s="160" t="s">
        <v>1773</v>
      </c>
      <c r="H580" s="160" t="s">
        <v>1815</v>
      </c>
      <c r="I580" s="160" t="str">
        <f>IF('AML.07.07'!$B$11&lt;0, $G580 &amp; ": " &amp; $H580, "OK")</f>
        <v>OK</v>
      </c>
      <c r="J580" s="57" t="str">
        <f>IF(LEN(IF(VLOOKUP("AMLA_VR_AML.07.07_C0010_01",$A:$I,9,0)&lt;&gt;"OK",CHAR(10)&amp;VLOOKUP("AMLA_VR_AML.07.07_C0010_01",$A:$I,9,0),"")&amp;IF(VLOOKUP("AMLA_VR_AML.07.07_C0010_02",$A:$I,9,0)&lt;&gt;"OK",CHAR(10)&amp;VLOOKUP("AMLA_VR_AML.07.07_C0010_02",$A:$I,9,0),"")&amp;IF(VLOOKUP("AMLA_VR_AML.07.07_C0010_03",$A:$I,9,0)&lt;&gt;"OK",CHAR(10)&amp;VLOOKUP("AMLA_VR_AML.07.07_C0010_03",$A:$I,9,0),""))=0,"OK",MID(IF(VLOOKUP("AMLA_VR_AML.07.07_C0010_01",$A:$I,9,0)&lt;&gt;"OK",CHAR(10)&amp;VLOOKUP("AMLA_VR_AML.07.07_C0010_01",$A:$I,9,0),"")&amp;IF(VLOOKUP("AMLA_VR_AML.07.07_C0010_02",$A:$I,9,0)&lt;&gt;"OK",CHAR(10)&amp;VLOOKUP("AMLA_VR_AML.07.07_C0010_02",$A:$I,9,0),"")&amp;IF(VLOOKUP("AMLA_VR_AML.07.07_C0010_03",$A:$I,9,0)&lt;&gt;"OK",CHAR(10)&amp;VLOOKUP("AMLA_VR_AML.07.07_C0010_03",$A:$I,9,0),""),2,3000))</f>
        <v>OK</v>
      </c>
      <c r="K580" s="161" t="s">
        <v>1775</v>
      </c>
    </row>
    <row r="581" spans="1:11">
      <c r="A581" s="159" t="str">
        <f>"AMLA_VR_" &amp; B581 &amp; "_" &amp; C581 &amp; "_" &amp; TEXT(COUNTIFS($B$2:B581, B581, $C$2:C581, C581), "00")</f>
        <v>AMLA_VR_AML.07.07_C0010_02</v>
      </c>
      <c r="B581" s="157" t="s">
        <v>421</v>
      </c>
      <c r="C581" s="157" t="s">
        <v>81</v>
      </c>
      <c r="D581" s="157" t="s">
        <v>1549</v>
      </c>
      <c r="E581" s="160" t="str" cm="1">
        <f t="array" aca="1" ref="E581" ca="1">IF(C581="", INDIRECT("'"&amp;B581&amp;"'!B3"), INDEX(INDIRECT("'"&amp;B581&amp;"'!5:5"), COLUMN(INDIRECT("'"&amp;B581&amp;"'!"&amp;D581))))</f>
        <v>Group Reporting - Group Entities Reporting on CDD</v>
      </c>
      <c r="F581" s="157" t="s">
        <v>1772</v>
      </c>
      <c r="G581" s="157" t="s">
        <v>1773</v>
      </c>
      <c r="H581" s="157" t="s">
        <v>1933</v>
      </c>
      <c r="I581" s="157" t="str">
        <f>IF('AML.07.07'!$B$11&gt;1, $G581 &amp; ": " &amp; $H581, "OK")</f>
        <v>OK</v>
      </c>
      <c r="J581" s="171" t="str">
        <f>IF(LEN(IF(VLOOKUP("AMLA_VR_AML.07.07_C0010_01",$A:$I,9,0)&lt;&gt;"OK",CHAR(10)&amp;VLOOKUP("AMLA_VR_AML.07.07_C0010_01",$A:$I,9,0),"")&amp;IF(VLOOKUP("AMLA_VR_AML.07.07_C0010_02",$A:$I,9,0)&lt;&gt;"OK",CHAR(10)&amp;VLOOKUP("AMLA_VR_AML.07.07_C0010_02",$A:$I,9,0),"")&amp;IF(VLOOKUP("AMLA_VR_AML.07.07_C0010_03",$A:$I,9,0)&lt;&gt;"OK",CHAR(10)&amp;VLOOKUP("AMLA_VR_AML.07.07_C0010_03",$A:$I,9,0),""))=0,"OK",MID(IF(VLOOKUP("AMLA_VR_AML.07.07_C0010_01",$A:$I,9,0)&lt;&gt;"OK",CHAR(10)&amp;VLOOKUP("AMLA_VR_AML.07.07_C0010_01",$A:$I,9,0),"")&amp;IF(VLOOKUP("AMLA_VR_AML.07.07_C0010_02",$A:$I,9,0)&lt;&gt;"OK",CHAR(10)&amp;VLOOKUP("AMLA_VR_AML.07.07_C0010_02",$A:$I,9,0),"")&amp;IF(VLOOKUP("AMLA_VR_AML.07.07_C0010_03",$A:$I,9,0)&lt;&gt;"OK",CHAR(10)&amp;VLOOKUP("AMLA_VR_AML.07.07_C0010_03",$A:$I,9,0),""),2,3000))</f>
        <v>OK</v>
      </c>
      <c r="K581" s="158" t="s">
        <v>1775</v>
      </c>
    </row>
    <row r="582" spans="1:11">
      <c r="A582" s="159" t="str">
        <f>"AMLA_VR_" &amp; B582 &amp; "_" &amp; C582 &amp; "_" &amp; TEXT(COUNTIFS($B$2:B582, B582, $C$2:C582, C582), "00")</f>
        <v>AMLA_VR_AML.07.07_C0010_03</v>
      </c>
      <c r="B582" s="157" t="s">
        <v>421</v>
      </c>
      <c r="C582" s="157" t="s">
        <v>81</v>
      </c>
      <c r="D582" s="157" t="s">
        <v>1549</v>
      </c>
      <c r="E582" s="160" t="str" cm="1">
        <f t="array" aca="1" ref="E582" ca="1">IF(C582="", INDIRECT("'"&amp;B582&amp;"'!B3"), INDEX(INDIRECT("'"&amp;B582&amp;"'!5:5"), COLUMN(INDIRECT("'"&amp;B582&amp;"'!"&amp;D582))))</f>
        <v>Group Reporting - Group Entities Reporting on CDD</v>
      </c>
      <c r="F582" s="157" t="s">
        <v>1776</v>
      </c>
      <c r="G582" s="157" t="s">
        <v>1773</v>
      </c>
      <c r="H582" s="157" t="s">
        <v>1851</v>
      </c>
      <c r="I582" s="157" t="str">
        <f>IF(TRIM(SUBSTITUTE('AML.07.07'!$B$11&amp;"",CHAR(160),""))="","OK",IF(OR(NOT(ISNUMBER('AML.07.07'!$B$11)),'AML.07.07'!$B$11&lt;0,'AML.07.07'!$B$11&gt;1),$G582&amp;": "&amp;$H582,"OK"))</f>
        <v>OK</v>
      </c>
      <c r="J582" s="171" t="str">
        <f>IF(LEN(IF(VLOOKUP("AMLA_VR_AML.07.07_C0010_01",$A:$I,9,0)&lt;&gt;"OK",CHAR(10)&amp;VLOOKUP("AMLA_VR_AML.07.07_C0010_01",$A:$I,9,0),"")&amp;IF(VLOOKUP("AMLA_VR_AML.07.07_C0010_02",$A:$I,9,0)&lt;&gt;"OK",CHAR(10)&amp;VLOOKUP("AMLA_VR_AML.07.07_C0010_02",$A:$I,9,0),"")&amp;IF(VLOOKUP("AMLA_VR_AML.07.07_C0010_03",$A:$I,9,0)&lt;&gt;"OK",CHAR(10)&amp;VLOOKUP("AMLA_VR_AML.07.07_C0010_03",$A:$I,9,0),""))=0,"OK",MID(IF(VLOOKUP("AMLA_VR_AML.07.07_C0010_01",$A:$I,9,0)&lt;&gt;"OK",CHAR(10)&amp;VLOOKUP("AMLA_VR_AML.07.07_C0010_01",$A:$I,9,0),"")&amp;IF(VLOOKUP("AMLA_VR_AML.07.07_C0010_02",$A:$I,9,0)&lt;&gt;"OK",CHAR(10)&amp;VLOOKUP("AMLA_VR_AML.07.07_C0010_02",$A:$I,9,0),"")&amp;IF(VLOOKUP("AMLA_VR_AML.07.07_C0010_03",$A:$I,9,0)&lt;&gt;"OK",CHAR(10)&amp;VLOOKUP("AMLA_VR_AML.07.07_C0010_03",$A:$I,9,0),""),2,3000))</f>
        <v>OK</v>
      </c>
      <c r="K582" s="158" t="s">
        <v>1775</v>
      </c>
    </row>
    <row r="583" spans="1:11">
      <c r="A583" s="159" t="str">
        <f>"AMLA_VR_" &amp; B583 &amp; "_" &amp; C583 &amp; "_" &amp; TEXT(COUNTIFS($B$2:B583, B583, $C$2:C583, C583), "00")</f>
        <v>AMLA_VR_AML.07.07_C0020_01</v>
      </c>
      <c r="B583" s="160" t="s">
        <v>421</v>
      </c>
      <c r="C583" s="160" t="s">
        <v>82</v>
      </c>
      <c r="D583" s="160" t="s">
        <v>1550</v>
      </c>
      <c r="E583" s="160" t="str" cm="1">
        <f t="array" aca="1" ref="E583" ca="1">IF(C583="", INDIRECT("'"&amp;B583&amp;"'!B3"), INDEX(INDIRECT("'"&amp;B583&amp;"'!5:5"), COLUMN(INDIRECT("'"&amp;B583&amp;"'!"&amp;D583))))</f>
        <v>Group Reporting - Group Entities Reporting on Ongoing Monitoring</v>
      </c>
      <c r="F583" s="160" t="s">
        <v>1772</v>
      </c>
      <c r="G583" s="160" t="s">
        <v>1773</v>
      </c>
      <c r="H583" s="160" t="s">
        <v>1819</v>
      </c>
      <c r="I583" s="160" t="str">
        <f>IF('AML.07.07'!$C$11&lt;0, $G583 &amp; ": " &amp; $H583, "OK")</f>
        <v>OK</v>
      </c>
      <c r="J583" s="57" t="str">
        <f>IF(LEN(IF(VLOOKUP("AMLA_VR_AML.07.07_C0020_01",$A:$I,9,0)&lt;&gt;"OK",CHAR(10)&amp;VLOOKUP("AMLA_VR_AML.07.07_C0020_01",$A:$I,9,0),"")&amp;IF(VLOOKUP("AMLA_VR_AML.07.07_C0020_02",$A:$I,9,0)&lt;&gt;"OK",CHAR(10)&amp;VLOOKUP("AMLA_VR_AML.07.07_C0020_02",$A:$I,9,0),"")&amp;IF(VLOOKUP("AMLA_VR_AML.07.07_C0020_03",$A:$I,9,0)&lt;&gt;"OK",CHAR(10)&amp;VLOOKUP("AMLA_VR_AML.07.07_C0020_03",$A:$I,9,0),""))=0,"OK",MID(IF(VLOOKUP("AMLA_VR_AML.07.07_C0020_01",$A:$I,9,0)&lt;&gt;"OK",CHAR(10)&amp;VLOOKUP("AMLA_VR_AML.07.07_C0020_01",$A:$I,9,0),"")&amp;IF(VLOOKUP("AMLA_VR_AML.07.07_C0020_02",$A:$I,9,0)&lt;&gt;"OK",CHAR(10)&amp;VLOOKUP("AMLA_VR_AML.07.07_C0020_02",$A:$I,9,0),"")&amp;IF(VLOOKUP("AMLA_VR_AML.07.07_C0020_03",$A:$I,9,0)&lt;&gt;"OK",CHAR(10)&amp;VLOOKUP("AMLA_VR_AML.07.07_C0020_03",$A:$I,9,0),""),2,3000))</f>
        <v>OK</v>
      </c>
      <c r="K583" s="161" t="s">
        <v>1775</v>
      </c>
    </row>
    <row r="584" spans="1:11">
      <c r="A584" s="159" t="str">
        <f>"AMLA_VR_" &amp; B584 &amp; "_" &amp; C584 &amp; "_" &amp; TEXT(COUNTIFS($B$2:B584, B584, $C$2:C584, C584), "00")</f>
        <v>AMLA_VR_AML.07.07_C0020_02</v>
      </c>
      <c r="B584" s="157" t="s">
        <v>421</v>
      </c>
      <c r="C584" s="157" t="s">
        <v>82</v>
      </c>
      <c r="D584" s="157" t="s">
        <v>1550</v>
      </c>
      <c r="E584" s="160" t="str" cm="1">
        <f t="array" aca="1" ref="E584" ca="1">IF(C584="", INDIRECT("'"&amp;B584&amp;"'!B3"), INDEX(INDIRECT("'"&amp;B584&amp;"'!5:5"), COLUMN(INDIRECT("'"&amp;B584&amp;"'!"&amp;D584))))</f>
        <v>Group Reporting - Group Entities Reporting on Ongoing Monitoring</v>
      </c>
      <c r="F584" s="157" t="s">
        <v>1772</v>
      </c>
      <c r="G584" s="157" t="s">
        <v>1773</v>
      </c>
      <c r="H584" s="157" t="s">
        <v>1934</v>
      </c>
      <c r="I584" s="157" t="str">
        <f>IF('AML.07.07'!$C$11&gt;1, $G584 &amp; ": " &amp; $H584, "OK")</f>
        <v>OK</v>
      </c>
      <c r="J584" s="171" t="str">
        <f>IF(LEN(IF(VLOOKUP("AMLA_VR_AML.07.07_C0020_01",$A:$I,9,0)&lt;&gt;"OK",CHAR(10)&amp;VLOOKUP("AMLA_VR_AML.07.07_C0020_01",$A:$I,9,0),"")&amp;IF(VLOOKUP("AMLA_VR_AML.07.07_C0020_02",$A:$I,9,0)&lt;&gt;"OK",CHAR(10)&amp;VLOOKUP("AMLA_VR_AML.07.07_C0020_02",$A:$I,9,0),"")&amp;IF(VLOOKUP("AMLA_VR_AML.07.07_C0020_03",$A:$I,9,0)&lt;&gt;"OK",CHAR(10)&amp;VLOOKUP("AMLA_VR_AML.07.07_C0020_03",$A:$I,9,0),""))=0,"OK",MID(IF(VLOOKUP("AMLA_VR_AML.07.07_C0020_01",$A:$I,9,0)&lt;&gt;"OK",CHAR(10)&amp;VLOOKUP("AMLA_VR_AML.07.07_C0020_01",$A:$I,9,0),"")&amp;IF(VLOOKUP("AMLA_VR_AML.07.07_C0020_02",$A:$I,9,0)&lt;&gt;"OK",CHAR(10)&amp;VLOOKUP("AMLA_VR_AML.07.07_C0020_02",$A:$I,9,0),"")&amp;IF(VLOOKUP("AMLA_VR_AML.07.07_C0020_03",$A:$I,9,0)&lt;&gt;"OK",CHAR(10)&amp;VLOOKUP("AMLA_VR_AML.07.07_C0020_03",$A:$I,9,0),""),2,3000))</f>
        <v>OK</v>
      </c>
      <c r="K584" s="158" t="s">
        <v>1775</v>
      </c>
    </row>
    <row r="585" spans="1:11">
      <c r="A585" s="159" t="str">
        <f>"AMLA_VR_" &amp; B585 &amp; "_" &amp; C585 &amp; "_" &amp; TEXT(COUNTIFS($B$2:B585, B585, $C$2:C585, C585), "00")</f>
        <v>AMLA_VR_AML.07.07_C0020_03</v>
      </c>
      <c r="B585" s="160" t="s">
        <v>421</v>
      </c>
      <c r="C585" s="160" t="s">
        <v>82</v>
      </c>
      <c r="D585" s="160" t="s">
        <v>1550</v>
      </c>
      <c r="E585" s="160" t="str" cm="1">
        <f t="array" aca="1" ref="E585" ca="1">IF(C585="", INDIRECT("'"&amp;B585&amp;"'!B3"), INDEX(INDIRECT("'"&amp;B585&amp;"'!5:5"), COLUMN(INDIRECT("'"&amp;B585&amp;"'!"&amp;D585))))</f>
        <v>Group Reporting - Group Entities Reporting on Ongoing Monitoring</v>
      </c>
      <c r="F585" s="160" t="s">
        <v>1776</v>
      </c>
      <c r="G585" s="160" t="s">
        <v>1773</v>
      </c>
      <c r="H585" s="160" t="s">
        <v>1851</v>
      </c>
      <c r="I585" s="160" t="str">
        <f>IF(TRIM(SUBSTITUTE('AML.07.07'!$C$11&amp;"",CHAR(160),""))="","OK",IF(OR(NOT(ISNUMBER('AML.07.07'!$C$11)),'AML.07.07'!$C$11&lt;0,'AML.07.07'!$C$11&gt;1),$G585&amp;": "&amp;$H585,"OK"))</f>
        <v>OK</v>
      </c>
      <c r="J585" s="57" t="str">
        <f>IF(LEN(IF(VLOOKUP("AMLA_VR_AML.07.07_C0020_01",$A:$I,9,0)&lt;&gt;"OK",CHAR(10)&amp;VLOOKUP("AMLA_VR_AML.07.07_C0020_01",$A:$I,9,0),"")&amp;IF(VLOOKUP("AMLA_VR_AML.07.07_C0020_02",$A:$I,9,0)&lt;&gt;"OK",CHAR(10)&amp;VLOOKUP("AMLA_VR_AML.07.07_C0020_02",$A:$I,9,0),"")&amp;IF(VLOOKUP("AMLA_VR_AML.07.07_C0020_03",$A:$I,9,0)&lt;&gt;"OK",CHAR(10)&amp;VLOOKUP("AMLA_VR_AML.07.07_C0020_03",$A:$I,9,0),""))=0,"OK",MID(IF(VLOOKUP("AMLA_VR_AML.07.07_C0020_01",$A:$I,9,0)&lt;&gt;"OK",CHAR(10)&amp;VLOOKUP("AMLA_VR_AML.07.07_C0020_01",$A:$I,9,0),"")&amp;IF(VLOOKUP("AMLA_VR_AML.07.07_C0020_02",$A:$I,9,0)&lt;&gt;"OK",CHAR(10)&amp;VLOOKUP("AMLA_VR_AML.07.07_C0020_02",$A:$I,9,0),"")&amp;IF(VLOOKUP("AMLA_VR_AML.07.07_C0020_03",$A:$I,9,0)&lt;&gt;"OK",CHAR(10)&amp;VLOOKUP("AMLA_VR_AML.07.07_C0020_03",$A:$I,9,0),""),2,3000))</f>
        <v>OK</v>
      </c>
      <c r="K585" s="161" t="s">
        <v>1775</v>
      </c>
    </row>
    <row r="586" spans="1:11">
      <c r="A586" s="159" t="str">
        <f>"AMLA_VR_" &amp; B586 &amp; "_" &amp; C586 &amp; "_" &amp; TEXT(COUNTIFS($B$2:B586, B586, $C$2:C586, C586), "00")</f>
        <v>AMLA_VR_AML.07.07_C0030_01</v>
      </c>
      <c r="B586" s="160" t="s">
        <v>421</v>
      </c>
      <c r="C586" s="160" t="s">
        <v>83</v>
      </c>
      <c r="D586" s="160" t="s">
        <v>1551</v>
      </c>
      <c r="E586" s="160" t="str" cm="1">
        <f t="array" aca="1" ref="E586" ca="1">IF(C586="", INDIRECT("'"&amp;B586&amp;"'!B3"), INDEX(INDIRECT("'"&amp;B586&amp;"'!5:5"), COLUMN(INDIRECT("'"&amp;B586&amp;"'!"&amp;D586))))</f>
        <v>Group Reporting - Group Entities Reporting on STRs</v>
      </c>
      <c r="F586" s="160" t="s">
        <v>1772</v>
      </c>
      <c r="G586" s="160" t="s">
        <v>1773</v>
      </c>
      <c r="H586" s="160" t="s">
        <v>1820</v>
      </c>
      <c r="I586" s="160" t="str">
        <f>IF('AML.07.07'!$D$11&lt;0, $G586 &amp; ": " &amp; $H586, "OK")</f>
        <v>OK</v>
      </c>
      <c r="J586" s="57" t="str">
        <f>IF(LEN(IF(VLOOKUP("AMLA_VR_AML.07.07_C0030_01",$A:$I,9,0)&lt;&gt;"OK",CHAR(10)&amp;VLOOKUP("AMLA_VR_AML.07.07_C0030_01",$A:$I,9,0),"")&amp;IF(VLOOKUP("AMLA_VR_AML.07.07_C0030_02",$A:$I,9,0)&lt;&gt;"OK",CHAR(10)&amp;VLOOKUP("AMLA_VR_AML.07.07_C0030_02",$A:$I,9,0),"")&amp;IF(VLOOKUP("AMLA_VR_AML.07.07_C0030_03",$A:$I,9,0)&lt;&gt;"OK",CHAR(10)&amp;VLOOKUP("AMLA_VR_AML.07.07_C0030_03",$A:$I,9,0),""))=0,"OK",MID(IF(VLOOKUP("AMLA_VR_AML.07.07_C0030_01",$A:$I,9,0)&lt;&gt;"OK",CHAR(10)&amp;VLOOKUP("AMLA_VR_AML.07.07_C0030_01",$A:$I,9,0),"")&amp;IF(VLOOKUP("AMLA_VR_AML.07.07_C0030_02",$A:$I,9,0)&lt;&gt;"OK",CHAR(10)&amp;VLOOKUP("AMLA_VR_AML.07.07_C0030_02",$A:$I,9,0),"")&amp;IF(VLOOKUP("AMLA_VR_AML.07.07_C0030_03",$A:$I,9,0)&lt;&gt;"OK",CHAR(10)&amp;VLOOKUP("AMLA_VR_AML.07.07_C0030_03",$A:$I,9,0),""),2,3000))</f>
        <v>OK</v>
      </c>
      <c r="K586" s="161" t="s">
        <v>1775</v>
      </c>
    </row>
    <row r="587" spans="1:11">
      <c r="A587" s="159" t="str">
        <f>"AMLA_VR_" &amp; B587 &amp; "_" &amp; C587 &amp; "_" &amp; TEXT(COUNTIFS($B$2:B587, B587, $C$2:C587, C587), "00")</f>
        <v>AMLA_VR_AML.07.07_C0030_02</v>
      </c>
      <c r="B587" s="157" t="s">
        <v>421</v>
      </c>
      <c r="C587" s="157" t="s">
        <v>83</v>
      </c>
      <c r="D587" s="157" t="s">
        <v>1551</v>
      </c>
      <c r="E587" s="160" t="str" cm="1">
        <f t="array" aca="1" ref="E587" ca="1">IF(C587="", INDIRECT("'"&amp;B587&amp;"'!B3"), INDEX(INDIRECT("'"&amp;B587&amp;"'!5:5"), COLUMN(INDIRECT("'"&amp;B587&amp;"'!"&amp;D587))))</f>
        <v>Group Reporting - Group Entities Reporting on STRs</v>
      </c>
      <c r="F587" s="157" t="s">
        <v>1772</v>
      </c>
      <c r="G587" s="157" t="s">
        <v>1773</v>
      </c>
      <c r="H587" s="157" t="s">
        <v>1850</v>
      </c>
      <c r="I587" s="157" t="str">
        <f>IF('AML.07.07'!$D$11&gt;1, $G587 &amp; ": " &amp; $H587, "OK")</f>
        <v>OK</v>
      </c>
      <c r="J587" s="171" t="str">
        <f>IF(LEN(IF(VLOOKUP("AMLA_VR_AML.07.07_C0030_01",$A:$I,9,0)&lt;&gt;"OK",CHAR(10)&amp;VLOOKUP("AMLA_VR_AML.07.07_C0030_01",$A:$I,9,0),"")&amp;IF(VLOOKUP("AMLA_VR_AML.07.07_C0030_02",$A:$I,9,0)&lt;&gt;"OK",CHAR(10)&amp;VLOOKUP("AMLA_VR_AML.07.07_C0030_02",$A:$I,9,0),"")&amp;IF(VLOOKUP("AMLA_VR_AML.07.07_C0030_03",$A:$I,9,0)&lt;&gt;"OK",CHAR(10)&amp;VLOOKUP("AMLA_VR_AML.07.07_C0030_03",$A:$I,9,0),""))=0,"OK",MID(IF(VLOOKUP("AMLA_VR_AML.07.07_C0030_01",$A:$I,9,0)&lt;&gt;"OK",CHAR(10)&amp;VLOOKUP("AMLA_VR_AML.07.07_C0030_01",$A:$I,9,0),"")&amp;IF(VLOOKUP("AMLA_VR_AML.07.07_C0030_02",$A:$I,9,0)&lt;&gt;"OK",CHAR(10)&amp;VLOOKUP("AMLA_VR_AML.07.07_C0030_02",$A:$I,9,0),"")&amp;IF(VLOOKUP("AMLA_VR_AML.07.07_C0030_03",$A:$I,9,0)&lt;&gt;"OK",CHAR(10)&amp;VLOOKUP("AMLA_VR_AML.07.07_C0030_03",$A:$I,9,0),""),2,3000))</f>
        <v>OK</v>
      </c>
      <c r="K587" s="158" t="s">
        <v>1775</v>
      </c>
    </row>
    <row r="588" spans="1:11">
      <c r="A588" s="159" t="str">
        <f>"AMLA_VR_" &amp; B588 &amp; "_" &amp; C588 &amp; "_" &amp; TEXT(COUNTIFS($B$2:B588, B588, $C$2:C588, C588), "00")</f>
        <v>AMLA_VR_AML.07.07_C0030_03</v>
      </c>
      <c r="B588" s="157" t="s">
        <v>421</v>
      </c>
      <c r="C588" s="157" t="s">
        <v>83</v>
      </c>
      <c r="D588" s="157" t="s">
        <v>1551</v>
      </c>
      <c r="E588" s="160" t="str" cm="1">
        <f t="array" aca="1" ref="E588" ca="1">IF(C588="", INDIRECT("'"&amp;B588&amp;"'!B3"), INDEX(INDIRECT("'"&amp;B588&amp;"'!5:5"), COLUMN(INDIRECT("'"&amp;B588&amp;"'!"&amp;D588))))</f>
        <v>Group Reporting - Group Entities Reporting on STRs</v>
      </c>
      <c r="F588" s="157" t="s">
        <v>1776</v>
      </c>
      <c r="G588" s="157" t="s">
        <v>1773</v>
      </c>
      <c r="H588" s="157" t="s">
        <v>1851</v>
      </c>
      <c r="I588" s="157" t="str">
        <f>IF(TRIM(SUBSTITUTE('AML.07.07'!$D$11&amp;"",CHAR(160),""))="","OK",IF(OR(NOT(ISNUMBER('AML.07.07'!$D$11)),'AML.07.07'!$D$11&lt;0,'AML.07.07'!$D$11&gt;1),$G588&amp;": "&amp;$H588,"OK"))</f>
        <v>OK</v>
      </c>
      <c r="J588" s="171" t="str">
        <f>IF(LEN(IF(VLOOKUP("AMLA_VR_AML.07.07_C0030_01",$A:$I,9,0)&lt;&gt;"OK",CHAR(10)&amp;VLOOKUP("AMLA_VR_AML.07.07_C0030_01",$A:$I,9,0),"")&amp;IF(VLOOKUP("AMLA_VR_AML.07.07_C0030_02",$A:$I,9,0)&lt;&gt;"OK",CHAR(10)&amp;VLOOKUP("AMLA_VR_AML.07.07_C0030_02",$A:$I,9,0),"")&amp;IF(VLOOKUP("AMLA_VR_AML.07.07_C0030_03",$A:$I,9,0)&lt;&gt;"OK",CHAR(10)&amp;VLOOKUP("AMLA_VR_AML.07.07_C0030_03",$A:$I,9,0),""))=0,"OK",MID(IF(VLOOKUP("AMLA_VR_AML.07.07_C0030_01",$A:$I,9,0)&lt;&gt;"OK",CHAR(10)&amp;VLOOKUP("AMLA_VR_AML.07.07_C0030_01",$A:$I,9,0),"")&amp;IF(VLOOKUP("AMLA_VR_AML.07.07_C0030_02",$A:$I,9,0)&lt;&gt;"OK",CHAR(10)&amp;VLOOKUP("AMLA_VR_AML.07.07_C0030_02",$A:$I,9,0),"")&amp;IF(VLOOKUP("AMLA_VR_AML.07.07_C0030_03",$A:$I,9,0)&lt;&gt;"OK",CHAR(10)&amp;VLOOKUP("AMLA_VR_AML.07.07_C0030_03",$A:$I,9,0),""),2,3000))</f>
        <v>OK</v>
      </c>
      <c r="K588" s="158" t="s">
        <v>1775</v>
      </c>
    </row>
    <row r="589" spans="1:11">
      <c r="A589" s="159" t="str">
        <f>"AMLA_VR_" &amp; B589 &amp; "_" &amp; C589 &amp; "_" &amp; TEXT(COUNTIFS($B$2:B589, B589, $C$2:C589, C589), "00")</f>
        <v>AMLA_VR_AML.07.07_C0040_01</v>
      </c>
      <c r="B589" s="160" t="s">
        <v>421</v>
      </c>
      <c r="C589" s="160" t="s">
        <v>84</v>
      </c>
      <c r="D589" s="160" t="s">
        <v>1552</v>
      </c>
      <c r="E589" s="160" t="str" cm="1">
        <f t="array" aca="1" ref="E589" ca="1">IF(C589="", INDIRECT("'"&amp;B589&amp;"'!B3"), INDEX(INDIRECT("'"&amp;B589&amp;"'!5:5"), COLUMN(INDIRECT("'"&amp;B589&amp;"'!"&amp;D589))))</f>
        <v>Group Reporting - Group Entities Reporting on Identity and Transaction-level Information on High-risk Customers</v>
      </c>
      <c r="F589" s="160" t="s">
        <v>1772</v>
      </c>
      <c r="G589" s="160" t="s">
        <v>1773</v>
      </c>
      <c r="H589" s="160" t="s">
        <v>1821</v>
      </c>
      <c r="I589" s="160" t="str">
        <f>IF('AML.07.07'!$E$11&lt;0, $G589 &amp; ": " &amp; $H589, "OK")</f>
        <v>OK</v>
      </c>
      <c r="J589" s="57" t="str">
        <f>IF(LEN(IF(VLOOKUP("AMLA_VR_AML.07.07_C0040_01",$A:$I,9,0)&lt;&gt;"OK",CHAR(10)&amp;VLOOKUP("AMLA_VR_AML.07.07_C0040_01",$A:$I,9,0),"")&amp;IF(VLOOKUP("AMLA_VR_AML.07.07_C0040_02",$A:$I,9,0)&lt;&gt;"OK",CHAR(10)&amp;VLOOKUP("AMLA_VR_AML.07.07_C0040_02",$A:$I,9,0),"")&amp;IF(VLOOKUP("AMLA_VR_AML.07.07_C0040_03",$A:$I,9,0)&lt;&gt;"OK",CHAR(10)&amp;VLOOKUP("AMLA_VR_AML.07.07_C0040_03",$A:$I,9,0),""))=0,"OK",MID(IF(VLOOKUP("AMLA_VR_AML.07.07_C0040_01",$A:$I,9,0)&lt;&gt;"OK",CHAR(10)&amp;VLOOKUP("AMLA_VR_AML.07.07_C0040_01",$A:$I,9,0),"")&amp;IF(VLOOKUP("AMLA_VR_AML.07.07_C0040_02",$A:$I,9,0)&lt;&gt;"OK",CHAR(10)&amp;VLOOKUP("AMLA_VR_AML.07.07_C0040_02",$A:$I,9,0),"")&amp;IF(VLOOKUP("AMLA_VR_AML.07.07_C0040_03",$A:$I,9,0)&lt;&gt;"OK",CHAR(10)&amp;VLOOKUP("AMLA_VR_AML.07.07_C0040_03",$A:$I,9,0),""),2,3000))</f>
        <v>OK</v>
      </c>
      <c r="K589" s="161" t="s">
        <v>1775</v>
      </c>
    </row>
    <row r="590" spans="1:11">
      <c r="A590" s="159" t="str">
        <f>"AMLA_VR_" &amp; B590 &amp; "_" &amp; C590 &amp; "_" &amp; TEXT(COUNTIFS($B$2:B590, B590, $C$2:C590, C590), "00")</f>
        <v>AMLA_VR_AML.07.07_C0040_02</v>
      </c>
      <c r="B590" s="157" t="s">
        <v>421</v>
      </c>
      <c r="C590" s="157" t="s">
        <v>84</v>
      </c>
      <c r="D590" s="157" t="s">
        <v>1552</v>
      </c>
      <c r="E590" s="160" t="str" cm="1">
        <f t="array" aca="1" ref="E590" ca="1">IF(C590="", INDIRECT("'"&amp;B590&amp;"'!B3"), INDEX(INDIRECT("'"&amp;B590&amp;"'!5:5"), COLUMN(INDIRECT("'"&amp;B590&amp;"'!"&amp;D590))))</f>
        <v>Group Reporting - Group Entities Reporting on Identity and Transaction-level Information on High-risk Customers</v>
      </c>
      <c r="F590" s="157" t="s">
        <v>1772</v>
      </c>
      <c r="G590" s="157" t="s">
        <v>1773</v>
      </c>
      <c r="H590" s="157" t="s">
        <v>1920</v>
      </c>
      <c r="I590" s="157" t="str">
        <f>IF('AML.07.07'!$E$11&gt;1, $G590 &amp; ": " &amp; $H590, "OK")</f>
        <v>OK</v>
      </c>
      <c r="J590" s="171" t="str">
        <f>IF(LEN(IF(VLOOKUP("AMLA_VR_AML.07.07_C0040_01",$A:$I,9,0)&lt;&gt;"OK",CHAR(10)&amp;VLOOKUP("AMLA_VR_AML.07.07_C0040_01",$A:$I,9,0),"")&amp;IF(VLOOKUP("AMLA_VR_AML.07.07_C0040_02",$A:$I,9,0)&lt;&gt;"OK",CHAR(10)&amp;VLOOKUP("AMLA_VR_AML.07.07_C0040_02",$A:$I,9,0),"")&amp;IF(VLOOKUP("AMLA_VR_AML.07.07_C0040_03",$A:$I,9,0)&lt;&gt;"OK",CHAR(10)&amp;VLOOKUP("AMLA_VR_AML.07.07_C0040_03",$A:$I,9,0),""))=0,"OK",MID(IF(VLOOKUP("AMLA_VR_AML.07.07_C0040_01",$A:$I,9,0)&lt;&gt;"OK",CHAR(10)&amp;VLOOKUP("AMLA_VR_AML.07.07_C0040_01",$A:$I,9,0),"")&amp;IF(VLOOKUP("AMLA_VR_AML.07.07_C0040_02",$A:$I,9,0)&lt;&gt;"OK",CHAR(10)&amp;VLOOKUP("AMLA_VR_AML.07.07_C0040_02",$A:$I,9,0),"")&amp;IF(VLOOKUP("AMLA_VR_AML.07.07_C0040_03",$A:$I,9,0)&lt;&gt;"OK",CHAR(10)&amp;VLOOKUP("AMLA_VR_AML.07.07_C0040_03",$A:$I,9,0),""),2,3000))</f>
        <v>OK</v>
      </c>
      <c r="K590" s="158" t="s">
        <v>1775</v>
      </c>
    </row>
    <row r="591" spans="1:11">
      <c r="A591" s="159" t="str">
        <f>"AMLA_VR_" &amp; B591 &amp; "_" &amp; C591 &amp; "_" &amp; TEXT(COUNTIFS($B$2:B591, B591, $C$2:C591, C591), "00")</f>
        <v>AMLA_VR_AML.07.07_C0040_03</v>
      </c>
      <c r="B591" s="160" t="s">
        <v>421</v>
      </c>
      <c r="C591" s="160" t="s">
        <v>84</v>
      </c>
      <c r="D591" s="160" t="s">
        <v>1552</v>
      </c>
      <c r="E591" s="160" t="str" cm="1">
        <f t="array" aca="1" ref="E591" ca="1">IF(C591="", INDIRECT("'"&amp;B591&amp;"'!B3"), INDEX(INDIRECT("'"&amp;B591&amp;"'!5:5"), COLUMN(INDIRECT("'"&amp;B591&amp;"'!"&amp;D591))))</f>
        <v>Group Reporting - Group Entities Reporting on Identity and Transaction-level Information on High-risk Customers</v>
      </c>
      <c r="F591" s="160" t="s">
        <v>1776</v>
      </c>
      <c r="G591" s="160" t="s">
        <v>1773</v>
      </c>
      <c r="H591" s="160" t="s">
        <v>1851</v>
      </c>
      <c r="I591" s="160" t="str">
        <f>IF(TRIM(SUBSTITUTE('AML.07.07'!$E$11&amp;"",CHAR(160),""))="","OK",IF(OR(NOT(ISNUMBER('AML.07.07'!$E$11)),'AML.07.07'!$E$11&lt;0,'AML.07.07'!$E$11&gt;1),$G591&amp;": "&amp;$H591,"OK"))</f>
        <v>OK</v>
      </c>
      <c r="J591" s="57" t="str">
        <f>IF(LEN(IF(VLOOKUP("AMLA_VR_AML.07.07_C0040_01",$A:$I,9,0)&lt;&gt;"OK",CHAR(10)&amp;VLOOKUP("AMLA_VR_AML.07.07_C0040_01",$A:$I,9,0),"")&amp;IF(VLOOKUP("AMLA_VR_AML.07.07_C0040_02",$A:$I,9,0)&lt;&gt;"OK",CHAR(10)&amp;VLOOKUP("AMLA_VR_AML.07.07_C0040_02",$A:$I,9,0),"")&amp;IF(VLOOKUP("AMLA_VR_AML.07.07_C0040_03",$A:$I,9,0)&lt;&gt;"OK",CHAR(10)&amp;VLOOKUP("AMLA_VR_AML.07.07_C0040_03",$A:$I,9,0),""))=0,"OK",MID(IF(VLOOKUP("AMLA_VR_AML.07.07_C0040_01",$A:$I,9,0)&lt;&gt;"OK",CHAR(10)&amp;VLOOKUP("AMLA_VR_AML.07.07_C0040_01",$A:$I,9,0),"")&amp;IF(VLOOKUP("AMLA_VR_AML.07.07_C0040_02",$A:$I,9,0)&lt;&gt;"OK",CHAR(10)&amp;VLOOKUP("AMLA_VR_AML.07.07_C0040_02",$A:$I,9,0),"")&amp;IF(VLOOKUP("AMLA_VR_AML.07.07_C0040_03",$A:$I,9,0)&lt;&gt;"OK",CHAR(10)&amp;VLOOKUP("AMLA_VR_AML.07.07_C0040_03",$A:$I,9,0),""),2,3000))</f>
        <v>OK</v>
      </c>
      <c r="K591" s="161" t="s">
        <v>1775</v>
      </c>
    </row>
    <row r="592" spans="1:11">
      <c r="A592" s="159" t="str">
        <f>"AMLA_VR_" &amp; B592 &amp; "_" &amp; C592 &amp; "_" &amp; TEXT(COUNTIFS($B$2:B592, B592, $C$2:C592, C592), "00")</f>
        <v>AMLA_VR_AML.07.07_C0050_01</v>
      </c>
      <c r="B592" s="160" t="s">
        <v>421</v>
      </c>
      <c r="C592" s="160" t="s">
        <v>85</v>
      </c>
      <c r="D592" s="160" t="s">
        <v>1553</v>
      </c>
      <c r="E592" s="160" t="str" cm="1">
        <f t="array" aca="1" ref="E592" ca="1">IF(C592="", INDIRECT("'"&amp;B592&amp;"'!B3"), INDEX(INDIRECT("'"&amp;B592&amp;"'!5:5"), COLUMN(INDIRECT("'"&amp;B592&amp;"'!"&amp;D592))))</f>
        <v>Group Reporting - Group Entities Reporting on Deficiencies</v>
      </c>
      <c r="F592" s="160" t="s">
        <v>1772</v>
      </c>
      <c r="G592" s="160" t="s">
        <v>1773</v>
      </c>
      <c r="H592" s="160" t="s">
        <v>1822</v>
      </c>
      <c r="I592" s="160" t="str">
        <f>IF('AML.07.07'!$F$11&lt;0, $G592 &amp; ": " &amp; $H592, "OK")</f>
        <v>OK</v>
      </c>
      <c r="J592" s="57" t="str">
        <f>IF(LEN(IF(VLOOKUP("AMLA_VR_AML.07.07_C0050_01",$A:$I,9,0)&lt;&gt;"OK",CHAR(10)&amp;VLOOKUP("AMLA_VR_AML.07.07_C0050_01",$A:$I,9,0),"")&amp;IF(VLOOKUP("AMLA_VR_AML.07.07_C0050_02",$A:$I,9,0)&lt;&gt;"OK",CHAR(10)&amp;VLOOKUP("AMLA_VR_AML.07.07_C0050_02",$A:$I,9,0),"")&amp;IF(VLOOKUP("AMLA_VR_AML.07.07_C0050_03",$A:$I,9,0)&lt;&gt;"OK",CHAR(10)&amp;VLOOKUP("AMLA_VR_AML.07.07_C0050_03",$A:$I,9,0),""))=0,"OK",MID(IF(VLOOKUP("AMLA_VR_AML.07.07_C0050_01",$A:$I,9,0)&lt;&gt;"OK",CHAR(10)&amp;VLOOKUP("AMLA_VR_AML.07.07_C0050_01",$A:$I,9,0),"")&amp;IF(VLOOKUP("AMLA_VR_AML.07.07_C0050_02",$A:$I,9,0)&lt;&gt;"OK",CHAR(10)&amp;VLOOKUP("AMLA_VR_AML.07.07_C0050_02",$A:$I,9,0),"")&amp;IF(VLOOKUP("AMLA_VR_AML.07.07_C0050_03",$A:$I,9,0)&lt;&gt;"OK",CHAR(10)&amp;VLOOKUP("AMLA_VR_AML.07.07_C0050_03",$A:$I,9,0),""),2,3000))</f>
        <v>OK</v>
      </c>
      <c r="K592" s="161" t="s">
        <v>1775</v>
      </c>
    </row>
    <row r="593" spans="1:11">
      <c r="A593" s="159" t="str">
        <f>"AMLA_VR_" &amp; B593 &amp; "_" &amp; C593 &amp; "_" &amp; TEXT(COUNTIFS($B$2:B593, B593, $C$2:C593, C593), "00")</f>
        <v>AMLA_VR_AML.07.07_C0050_02</v>
      </c>
      <c r="B593" s="157" t="s">
        <v>421</v>
      </c>
      <c r="C593" s="157" t="s">
        <v>85</v>
      </c>
      <c r="D593" s="157" t="s">
        <v>1553</v>
      </c>
      <c r="E593" s="160" t="str" cm="1">
        <f t="array" aca="1" ref="E593" ca="1">IF(C593="", INDIRECT("'"&amp;B593&amp;"'!B3"), INDEX(INDIRECT("'"&amp;B593&amp;"'!5:5"), COLUMN(INDIRECT("'"&amp;B593&amp;"'!"&amp;D593))))</f>
        <v>Group Reporting - Group Entities Reporting on Deficiencies</v>
      </c>
      <c r="F593" s="157" t="s">
        <v>1772</v>
      </c>
      <c r="G593" s="157" t="s">
        <v>1773</v>
      </c>
      <c r="H593" s="157" t="s">
        <v>1921</v>
      </c>
      <c r="I593" s="157" t="str">
        <f>IF('AML.07.07'!$F$11&gt;1, $G593 &amp; ": " &amp; $H593, "OK")</f>
        <v>OK</v>
      </c>
      <c r="J593" s="171" t="str">
        <f>IF(LEN(IF(VLOOKUP("AMLA_VR_AML.07.07_C0050_01",$A:$I,9,0)&lt;&gt;"OK",CHAR(10)&amp;VLOOKUP("AMLA_VR_AML.07.07_C0050_01",$A:$I,9,0),"")&amp;IF(VLOOKUP("AMLA_VR_AML.07.07_C0050_02",$A:$I,9,0)&lt;&gt;"OK",CHAR(10)&amp;VLOOKUP("AMLA_VR_AML.07.07_C0050_02",$A:$I,9,0),"")&amp;IF(VLOOKUP("AMLA_VR_AML.07.07_C0050_03",$A:$I,9,0)&lt;&gt;"OK",CHAR(10)&amp;VLOOKUP("AMLA_VR_AML.07.07_C0050_03",$A:$I,9,0),""))=0,"OK",MID(IF(VLOOKUP("AMLA_VR_AML.07.07_C0050_01",$A:$I,9,0)&lt;&gt;"OK",CHAR(10)&amp;VLOOKUP("AMLA_VR_AML.07.07_C0050_01",$A:$I,9,0),"")&amp;IF(VLOOKUP("AMLA_VR_AML.07.07_C0050_02",$A:$I,9,0)&lt;&gt;"OK",CHAR(10)&amp;VLOOKUP("AMLA_VR_AML.07.07_C0050_02",$A:$I,9,0),"")&amp;IF(VLOOKUP("AMLA_VR_AML.07.07_C0050_03",$A:$I,9,0)&lt;&gt;"OK",CHAR(10)&amp;VLOOKUP("AMLA_VR_AML.07.07_C0050_03",$A:$I,9,0),""),2,3000))</f>
        <v>OK</v>
      </c>
      <c r="K593" s="158" t="s">
        <v>1775</v>
      </c>
    </row>
    <row r="594" spans="1:11">
      <c r="A594" s="159" t="str">
        <f>"AMLA_VR_" &amp; B594 &amp; "_" &amp; C594 &amp; "_" &amp; TEXT(COUNTIFS($B$2:B594, B594, $C$2:C594, C594), "00")</f>
        <v>AMLA_VR_AML.07.07_C0050_03</v>
      </c>
      <c r="B594" s="157" t="s">
        <v>421</v>
      </c>
      <c r="C594" s="157" t="s">
        <v>85</v>
      </c>
      <c r="D594" s="157" t="s">
        <v>1553</v>
      </c>
      <c r="E594" s="160" t="str" cm="1">
        <f t="array" aca="1" ref="E594" ca="1">IF(C594="", INDIRECT("'"&amp;B594&amp;"'!B3"), INDEX(INDIRECT("'"&amp;B594&amp;"'!5:5"), COLUMN(INDIRECT("'"&amp;B594&amp;"'!"&amp;D594))))</f>
        <v>Group Reporting - Group Entities Reporting on Deficiencies</v>
      </c>
      <c r="F594" s="157" t="s">
        <v>1776</v>
      </c>
      <c r="G594" s="157" t="s">
        <v>1773</v>
      </c>
      <c r="H594" s="157" t="s">
        <v>1851</v>
      </c>
      <c r="I594" s="157" t="str">
        <f>IF(TRIM(SUBSTITUTE('AML.07.07'!$F$11&amp;"",CHAR(160),""))="","OK",IF(OR(NOT(ISNUMBER('AML.07.07'!$F$11)),'AML.07.07'!$F$11&lt;0,'AML.07.07'!$F$11&gt;1),$G594&amp;": "&amp;$H594,"OK"))</f>
        <v>OK</v>
      </c>
      <c r="J594" s="171" t="str">
        <f>IF(LEN(IF(VLOOKUP("AMLA_VR_AML.07.07_C0050_01",$A:$I,9,0)&lt;&gt;"OK",CHAR(10)&amp;VLOOKUP("AMLA_VR_AML.07.07_C0050_01",$A:$I,9,0),"")&amp;IF(VLOOKUP("AMLA_VR_AML.07.07_C0050_02",$A:$I,9,0)&lt;&gt;"OK",CHAR(10)&amp;VLOOKUP("AMLA_VR_AML.07.07_C0050_02",$A:$I,9,0),"")&amp;IF(VLOOKUP("AMLA_VR_AML.07.07_C0050_03",$A:$I,9,0)&lt;&gt;"OK",CHAR(10)&amp;VLOOKUP("AMLA_VR_AML.07.07_C0050_03",$A:$I,9,0),""))=0,"OK",MID(IF(VLOOKUP("AMLA_VR_AML.07.07_C0050_01",$A:$I,9,0)&lt;&gt;"OK",CHAR(10)&amp;VLOOKUP("AMLA_VR_AML.07.07_C0050_01",$A:$I,9,0),"")&amp;IF(VLOOKUP("AMLA_VR_AML.07.07_C0050_02",$A:$I,9,0)&lt;&gt;"OK",CHAR(10)&amp;VLOOKUP("AMLA_VR_AML.07.07_C0050_02",$A:$I,9,0),"")&amp;IF(VLOOKUP("AMLA_VR_AML.07.07_C0050_03",$A:$I,9,0)&lt;&gt;"OK",CHAR(10)&amp;VLOOKUP("AMLA_VR_AML.07.07_C0050_03",$A:$I,9,0),""),2,3000))</f>
        <v>OK</v>
      </c>
      <c r="K594" s="158" t="s">
        <v>1775</v>
      </c>
    </row>
    <row r="595" spans="1:11">
      <c r="A595" s="159" t="str">
        <f>"AMLA_VR_" &amp; B595 &amp; "_" &amp; C595 &amp; "_" &amp; TEXT(COUNTIFS($B$2:B595, B595, $C$2:C595, C595), "00")</f>
        <v>AMLA_VR_AML.07.07_C0060_01</v>
      </c>
      <c r="B595" s="160" t="s">
        <v>421</v>
      </c>
      <c r="C595" s="160" t="s">
        <v>86</v>
      </c>
      <c r="D595" s="160" t="s">
        <v>1554</v>
      </c>
      <c r="E595" s="160" t="str" cm="1">
        <f t="array" aca="1" ref="E595" ca="1">IF(C595="", INDIRECT("'"&amp;B595&amp;"'!B3"), INDEX(INDIRECT("'"&amp;B595&amp;"'!5:5"), COLUMN(INDIRECT("'"&amp;B595&amp;"'!"&amp;D595))))</f>
        <v>Group Reporting - Jurisdictions subject to Compliance Reviews</v>
      </c>
      <c r="F595" s="160" t="s">
        <v>1772</v>
      </c>
      <c r="G595" s="160" t="s">
        <v>1773</v>
      </c>
      <c r="H595" s="160" t="s">
        <v>1823</v>
      </c>
      <c r="I595" s="160" t="str">
        <f>IF('AML.07.07'!$G$11&lt;0, $G595 &amp; ": " &amp; $H595, "OK")</f>
        <v>OK</v>
      </c>
      <c r="J595" s="57" t="str">
        <f>IF(LEN(IF(VLOOKUP("AMLA_VR_AML.07.07_C0060_01",$A:$I,9,0)&lt;&gt;"OK",CHAR(10)&amp;VLOOKUP("AMLA_VR_AML.07.07_C0060_01",$A:$I,9,0),"")&amp;IF(VLOOKUP("AMLA_VR_AML.07.07_C0060_02",$A:$I,9,0)&lt;&gt;"OK",CHAR(10)&amp;VLOOKUP("AMLA_VR_AML.07.07_C0060_02",$A:$I,9,0),"")&amp;IF(VLOOKUP("AMLA_VR_AML.07.07_C0060_03",$A:$I,9,0)&lt;&gt;"OK",CHAR(10)&amp;VLOOKUP("AMLA_VR_AML.07.07_C0060_03",$A:$I,9,0),""))=0,"OK",MID(IF(VLOOKUP("AMLA_VR_AML.07.07_C0060_01",$A:$I,9,0)&lt;&gt;"OK",CHAR(10)&amp;VLOOKUP("AMLA_VR_AML.07.07_C0060_01",$A:$I,9,0),"")&amp;IF(VLOOKUP("AMLA_VR_AML.07.07_C0060_02",$A:$I,9,0)&lt;&gt;"OK",CHAR(10)&amp;VLOOKUP("AMLA_VR_AML.07.07_C0060_02",$A:$I,9,0),"")&amp;IF(VLOOKUP("AMLA_VR_AML.07.07_C0060_03",$A:$I,9,0)&lt;&gt;"OK",CHAR(10)&amp;VLOOKUP("AMLA_VR_AML.07.07_C0060_03",$A:$I,9,0),""),2,3000))</f>
        <v>OK</v>
      </c>
      <c r="K595" s="161" t="s">
        <v>1775</v>
      </c>
    </row>
    <row r="596" spans="1:11">
      <c r="A596" s="159" t="str">
        <f>"AMLA_VR_" &amp; B596 &amp; "_" &amp; C596 &amp; "_" &amp; TEXT(COUNTIFS($B$2:B596, B596, $C$2:C596, C596), "00")</f>
        <v>AMLA_VR_AML.07.07_C0060_02</v>
      </c>
      <c r="B596" s="157" t="s">
        <v>421</v>
      </c>
      <c r="C596" s="157" t="s">
        <v>86</v>
      </c>
      <c r="D596" s="157" t="s">
        <v>1554</v>
      </c>
      <c r="E596" s="160" t="str" cm="1">
        <f t="array" aca="1" ref="E596" ca="1">IF(C596="", INDIRECT("'"&amp;B596&amp;"'!B3"), INDEX(INDIRECT("'"&amp;B596&amp;"'!5:5"), COLUMN(INDIRECT("'"&amp;B596&amp;"'!"&amp;D596))))</f>
        <v>Group Reporting - Jurisdictions subject to Compliance Reviews</v>
      </c>
      <c r="F596" s="157" t="s">
        <v>1772</v>
      </c>
      <c r="G596" s="157" t="s">
        <v>1773</v>
      </c>
      <c r="H596" s="157" t="s">
        <v>1856</v>
      </c>
      <c r="I596" s="157" t="str">
        <f>IF('AML.07.07'!$G$11&gt;1, $G596 &amp; ": " &amp; $H596, "OK")</f>
        <v>OK</v>
      </c>
      <c r="J596" s="171" t="str">
        <f>IF(LEN(IF(VLOOKUP("AMLA_VR_AML.07.07_C0060_01",$A:$I,9,0)&lt;&gt;"OK",CHAR(10)&amp;VLOOKUP("AMLA_VR_AML.07.07_C0060_01",$A:$I,9,0),"")&amp;IF(VLOOKUP("AMLA_VR_AML.07.07_C0060_02",$A:$I,9,0)&lt;&gt;"OK",CHAR(10)&amp;VLOOKUP("AMLA_VR_AML.07.07_C0060_02",$A:$I,9,0),"")&amp;IF(VLOOKUP("AMLA_VR_AML.07.07_C0060_03",$A:$I,9,0)&lt;&gt;"OK",CHAR(10)&amp;VLOOKUP("AMLA_VR_AML.07.07_C0060_03",$A:$I,9,0),""))=0,"OK",MID(IF(VLOOKUP("AMLA_VR_AML.07.07_C0060_01",$A:$I,9,0)&lt;&gt;"OK",CHAR(10)&amp;VLOOKUP("AMLA_VR_AML.07.07_C0060_01",$A:$I,9,0),"")&amp;IF(VLOOKUP("AMLA_VR_AML.07.07_C0060_02",$A:$I,9,0)&lt;&gt;"OK",CHAR(10)&amp;VLOOKUP("AMLA_VR_AML.07.07_C0060_02",$A:$I,9,0),"")&amp;IF(VLOOKUP("AMLA_VR_AML.07.07_C0060_03",$A:$I,9,0)&lt;&gt;"OK",CHAR(10)&amp;VLOOKUP("AMLA_VR_AML.07.07_C0060_03",$A:$I,9,0),""),2,3000))</f>
        <v>OK</v>
      </c>
      <c r="K596" s="158" t="s">
        <v>1775</v>
      </c>
    </row>
    <row r="597" spans="1:11">
      <c r="A597" s="159" t="str">
        <f>"AMLA_VR_" &amp; B597 &amp; "_" &amp; C597 &amp; "_" &amp; TEXT(COUNTIFS($B$2:B597, B597, $C$2:C597, C597), "00")</f>
        <v>AMLA_VR_AML.07.07_C0060_03</v>
      </c>
      <c r="B597" s="160" t="s">
        <v>421</v>
      </c>
      <c r="C597" s="160" t="s">
        <v>86</v>
      </c>
      <c r="D597" s="160" t="s">
        <v>1554</v>
      </c>
      <c r="E597" s="160" t="str" cm="1">
        <f t="array" aca="1" ref="E597" ca="1">IF(C597="", INDIRECT("'"&amp;B597&amp;"'!B3"), INDEX(INDIRECT("'"&amp;B597&amp;"'!5:5"), COLUMN(INDIRECT("'"&amp;B597&amp;"'!"&amp;D597))))</f>
        <v>Group Reporting - Jurisdictions subject to Compliance Reviews</v>
      </c>
      <c r="F597" s="160" t="s">
        <v>1776</v>
      </c>
      <c r="G597" s="160" t="s">
        <v>1773</v>
      </c>
      <c r="H597" s="160" t="s">
        <v>1851</v>
      </c>
      <c r="I597" s="160" t="str">
        <f>IF(TRIM(SUBSTITUTE('AML.07.07'!$G$11&amp;"",CHAR(160),""))="","OK",IF(OR(NOT(ISNUMBER('AML.07.07'!$G$11)),'AML.07.07'!$G$11&lt;0,'AML.07.07'!$G$11&gt;1),$G597&amp;": "&amp;$H597,"OK"))</f>
        <v>OK</v>
      </c>
      <c r="J597" s="57" t="str">
        <f>IF(LEN(IF(VLOOKUP("AMLA_VR_AML.07.07_C0060_01",$A:$I,9,0)&lt;&gt;"OK",CHAR(10)&amp;VLOOKUP("AMLA_VR_AML.07.07_C0060_01",$A:$I,9,0),"")&amp;IF(VLOOKUP("AMLA_VR_AML.07.07_C0060_02",$A:$I,9,0)&lt;&gt;"OK",CHAR(10)&amp;VLOOKUP("AMLA_VR_AML.07.07_C0060_02",$A:$I,9,0),"")&amp;IF(VLOOKUP("AMLA_VR_AML.07.07_C0060_03",$A:$I,9,0)&lt;&gt;"OK",CHAR(10)&amp;VLOOKUP("AMLA_VR_AML.07.07_C0060_03",$A:$I,9,0),""))=0,"OK",MID(IF(VLOOKUP("AMLA_VR_AML.07.07_C0060_01",$A:$I,9,0)&lt;&gt;"OK",CHAR(10)&amp;VLOOKUP("AMLA_VR_AML.07.07_C0060_01",$A:$I,9,0),"")&amp;IF(VLOOKUP("AMLA_VR_AML.07.07_C0060_02",$A:$I,9,0)&lt;&gt;"OK",CHAR(10)&amp;VLOOKUP("AMLA_VR_AML.07.07_C0060_02",$A:$I,9,0),"")&amp;IF(VLOOKUP("AMLA_VR_AML.07.07_C0060_03",$A:$I,9,0)&lt;&gt;"OK",CHAR(10)&amp;VLOOKUP("AMLA_VR_AML.07.07_C0060_03",$A:$I,9,0),""),2,3000))</f>
        <v>OK</v>
      </c>
      <c r="K597" s="161" t="s">
        <v>1775</v>
      </c>
    </row>
    <row r="598" spans="1:11">
      <c r="A598" s="159" t="str">
        <f>"AMLA_VR_" &amp; B598 &amp; "_" &amp; C598 &amp; "_" &amp; TEXT(COUNTIFS($B$2:B598, B598, $C$2:C598, C598), "00")</f>
        <v>AMLA_VR_AML.07.07_C0070_01</v>
      </c>
      <c r="B598" s="160" t="s">
        <v>421</v>
      </c>
      <c r="C598" s="160" t="s">
        <v>87</v>
      </c>
      <c r="D598" s="160" t="s">
        <v>1555</v>
      </c>
      <c r="E598" s="160" t="str" cm="1">
        <f t="array" aca="1" ref="E598" ca="1">IF(C598="", INDIRECT("'"&amp;B598&amp;"'!B3"), INDEX(INDIRECT("'"&amp;B598&amp;"'!5:5"), COLUMN(INDIRECT("'"&amp;B598&amp;"'!"&amp;D598))))</f>
        <v>Group Entities with Deficiencies (within EU/EEA)</v>
      </c>
      <c r="F598" s="160" t="s">
        <v>1772</v>
      </c>
      <c r="G598" s="160" t="s">
        <v>1773</v>
      </c>
      <c r="H598" s="160" t="s">
        <v>1824</v>
      </c>
      <c r="I598" s="160" t="str">
        <f>IF('AML.07.07'!$H$11&lt;0, $G598 &amp; ": " &amp; $H598, "OK")</f>
        <v>OK</v>
      </c>
      <c r="J598" s="57" t="str">
        <f>IF(LEN(IF(VLOOKUP("AMLA_VR_AML.07.07_C0070_01",$A:$I,9,0)&lt;&gt;"OK",CHAR(10)&amp;VLOOKUP("AMLA_VR_AML.07.07_C0070_01",$A:$I,9,0),"")&amp;IF(VLOOKUP("AMLA_VR_AML.07.07_C0070_02",$A:$I,9,0)&lt;&gt;"OK",CHAR(10)&amp;VLOOKUP("AMLA_VR_AML.07.07_C0070_02",$A:$I,9,0),""))=0,"OK",MID(IF(VLOOKUP("AMLA_VR_AML.07.07_C0070_01",$A:$I,9,0)&lt;&gt;"OK",CHAR(10)&amp;VLOOKUP("AMLA_VR_AML.07.07_C0070_01",$A:$I,9,0),"")&amp;IF(VLOOKUP("AMLA_VR_AML.07.07_C0070_02",$A:$I,9,0)&lt;&gt;"OK",CHAR(10)&amp;VLOOKUP("AMLA_VR_AML.07.07_C0070_02",$A:$I,9,0),""),2,3000))</f>
        <v>OK</v>
      </c>
      <c r="K598" s="161" t="s">
        <v>1775</v>
      </c>
    </row>
    <row r="599" spans="1:11">
      <c r="A599" s="159" t="str">
        <f>"AMLA_VR_" &amp; B599 &amp; "_" &amp; C599 &amp; "_" &amp; TEXT(COUNTIFS($B$2:B599, B599, $C$2:C599, C599), "00")</f>
        <v>AMLA_VR_AML.07.07_C0070_02</v>
      </c>
      <c r="B599" s="157" t="s">
        <v>421</v>
      </c>
      <c r="C599" s="157" t="s">
        <v>87</v>
      </c>
      <c r="D599" s="157" t="s">
        <v>1555</v>
      </c>
      <c r="E599" s="160" t="str" cm="1">
        <f t="array" aca="1" ref="E599" ca="1">IF(C599="", INDIRECT("'"&amp;B599&amp;"'!B3"), INDEX(INDIRECT("'"&amp;B599&amp;"'!5:5"), COLUMN(INDIRECT("'"&amp;B599&amp;"'!"&amp;D599))))</f>
        <v>Group Entities with Deficiencies (within EU/EEA)</v>
      </c>
      <c r="F599" s="157" t="s">
        <v>1776</v>
      </c>
      <c r="G599" s="157" t="s">
        <v>1773</v>
      </c>
      <c r="H599" s="157" t="s">
        <v>1816</v>
      </c>
      <c r="I599" s="157" t="str">
        <f>IF(TRIM(SUBSTITUTE('AML.07.07'!$H$11&amp;"",CHAR(160),""))="","OK",IF(OR(NOT(ISNUMBER('AML.07.07'!$H$11)),IFERROR(INT('AML.07.07'!$H$11)&lt;&gt;'AML.07.07'!$H$11,TRUE)),$G599&amp;": "&amp;$H599,"OK"))</f>
        <v>OK</v>
      </c>
      <c r="J599" s="171" t="str">
        <f>IF(LEN(IF(VLOOKUP("AMLA_VR_AML.07.07_C0070_01",$A:$I,9,0)&lt;&gt;"OK",CHAR(10)&amp;VLOOKUP("AMLA_VR_AML.07.07_C0070_01",$A:$I,9,0),"")&amp;IF(VLOOKUP("AMLA_VR_AML.07.07_C0070_02",$A:$I,9,0)&lt;&gt;"OK",CHAR(10)&amp;VLOOKUP("AMLA_VR_AML.07.07_C0070_02",$A:$I,9,0),""))=0,"OK",MID(IF(VLOOKUP("AMLA_VR_AML.07.07_C0070_01",$A:$I,9,0)&lt;&gt;"OK",CHAR(10)&amp;VLOOKUP("AMLA_VR_AML.07.07_C0070_01",$A:$I,9,0),"")&amp;IF(VLOOKUP("AMLA_VR_AML.07.07_C0070_02",$A:$I,9,0)&lt;&gt;"OK",CHAR(10)&amp;VLOOKUP("AMLA_VR_AML.07.07_C0070_02",$A:$I,9,0),""),2,3000))</f>
        <v>OK</v>
      </c>
      <c r="K599" s="158" t="s">
        <v>1775</v>
      </c>
    </row>
    <row r="600" spans="1:11">
      <c r="A600" s="159" t="str">
        <f>"AMLA_VR_" &amp; B600 &amp; "_" &amp; C600 &amp; "_" &amp; TEXT(COUNTIFS($B$2:B600, B600, $C$2:C600, C600), "00")</f>
        <v>AMLA_VR_AML.07.07_C0080_01</v>
      </c>
      <c r="B600" s="157" t="s">
        <v>421</v>
      </c>
      <c r="C600" s="157" t="s">
        <v>88</v>
      </c>
      <c r="D600" s="157" t="s">
        <v>1556</v>
      </c>
      <c r="E600" s="160" t="str" cm="1">
        <f t="array" aca="1" ref="E600" ca="1">IF(C600="", INDIRECT("'"&amp;B600&amp;"'!B3"), INDEX(INDIRECT("'"&amp;B600&amp;"'!5:5"), COLUMN(INDIRECT("'"&amp;B600&amp;"'!"&amp;D600))))</f>
        <v>Group Entities with Deficiencies (outside EU/EEA)</v>
      </c>
      <c r="F600" s="157" t="s">
        <v>1772</v>
      </c>
      <c r="G600" s="157" t="s">
        <v>1773</v>
      </c>
      <c r="H600" s="157" t="s">
        <v>1825</v>
      </c>
      <c r="I600" s="157" t="str">
        <f>IF('AML.07.07'!$I$11&lt;0, $G600 &amp; ": " &amp; $H600, "OK")</f>
        <v>OK</v>
      </c>
      <c r="J600" s="171" t="str">
        <f>IF(LEN(IF(VLOOKUP("AMLA_VR_AML.07.07_C0080_01",$A:$I,9,0)&lt;&gt;"OK",CHAR(10)&amp;VLOOKUP("AMLA_VR_AML.07.07_C0080_01",$A:$I,9,0),"")&amp;IF(VLOOKUP("AMLA_VR_AML.07.07_C0080_02",$A:$I,9,0)&lt;&gt;"OK",CHAR(10)&amp;VLOOKUP("AMLA_VR_AML.07.07_C0080_02",$A:$I,9,0),""))=0,"OK",MID(IF(VLOOKUP("AMLA_VR_AML.07.07_C0080_01",$A:$I,9,0)&lt;&gt;"OK",CHAR(10)&amp;VLOOKUP("AMLA_VR_AML.07.07_C0080_01",$A:$I,9,0),"")&amp;IF(VLOOKUP("AMLA_VR_AML.07.07_C0080_02",$A:$I,9,0)&lt;&gt;"OK",CHAR(10)&amp;VLOOKUP("AMLA_VR_AML.07.07_C0080_02",$A:$I,9,0),""),2,3000))</f>
        <v>OK</v>
      </c>
      <c r="K600" s="158" t="s">
        <v>1775</v>
      </c>
    </row>
    <row r="601" spans="1:11">
      <c r="A601" s="159" t="str">
        <f>"AMLA_VR_" &amp; B601 &amp; "_" &amp; C601 &amp; "_" &amp; TEXT(COUNTIFS($B$2:B601, B601, $C$2:C601, C601), "00")</f>
        <v>AMLA_VR_AML.07.07_C0080_02</v>
      </c>
      <c r="B601" s="160" t="s">
        <v>421</v>
      </c>
      <c r="C601" s="160" t="s">
        <v>88</v>
      </c>
      <c r="D601" s="160" t="s">
        <v>1556</v>
      </c>
      <c r="E601" s="160" t="str" cm="1">
        <f t="array" aca="1" ref="E601" ca="1">IF(C601="", INDIRECT("'"&amp;B601&amp;"'!B3"), INDEX(INDIRECT("'"&amp;B601&amp;"'!5:5"), COLUMN(INDIRECT("'"&amp;B601&amp;"'!"&amp;D601))))</f>
        <v>Group Entities with Deficiencies (outside EU/EEA)</v>
      </c>
      <c r="F601" s="160" t="s">
        <v>1776</v>
      </c>
      <c r="G601" s="160" t="s">
        <v>1773</v>
      </c>
      <c r="H601" s="160" t="s">
        <v>1816</v>
      </c>
      <c r="I601" s="160" t="str">
        <f>IF(TRIM(SUBSTITUTE('AML.07.07'!$I$11&amp;"",CHAR(160),""))="","OK",IF(OR(NOT(ISNUMBER('AML.07.07'!$I$11)),IFERROR(INT('AML.07.07'!$I$11)&lt;&gt;'AML.07.07'!$I$11,TRUE)),$G601&amp;": "&amp;$H601,"OK"))</f>
        <v>OK</v>
      </c>
      <c r="J601" s="57" t="str">
        <f>IF(LEN(IF(VLOOKUP("AMLA_VR_AML.07.07_C0080_01",$A:$I,9,0)&lt;&gt;"OK",CHAR(10)&amp;VLOOKUP("AMLA_VR_AML.07.07_C0080_01",$A:$I,9,0),"")&amp;IF(VLOOKUP("AMLA_VR_AML.07.07_C0080_02",$A:$I,9,0)&lt;&gt;"OK",CHAR(10)&amp;VLOOKUP("AMLA_VR_AML.07.07_C0080_02",$A:$I,9,0),""))=0,"OK",MID(IF(VLOOKUP("AMLA_VR_AML.07.07_C0080_01",$A:$I,9,0)&lt;&gt;"OK",CHAR(10)&amp;VLOOKUP("AMLA_VR_AML.07.07_C0080_01",$A:$I,9,0),"")&amp;IF(VLOOKUP("AMLA_VR_AML.07.07_C0080_02",$A:$I,9,0)&lt;&gt;"OK",CHAR(10)&amp;VLOOKUP("AMLA_VR_AML.07.07_C0080_02",$A:$I,9,0),""),2,3000))</f>
        <v>OK</v>
      </c>
      <c r="K601" s="161" t="s">
        <v>1775</v>
      </c>
    </row>
  </sheetData>
  <sheetProtection algorithmName="SHA-512" hashValue="/9dVSCaKvupft4Y5R5yxrTOR5+kNzqB4BOi0HbqFhtFCIGAboH7p1GaMGYFK+2BGep8HcSdSMvQbqCnIS+bJTg==" saltValue="4vqBE8N5zHmcPaKpA89h4A==" spinCount="100000" sheet="1" objects="1" scenarios="1"/>
  <autoFilter ref="A1:K601" xr:uid="{0D2CC966-ECC9-459B-BE55-60355E7C4DD6}"/>
  <phoneticPr fontId="4" type="noConversion"/>
  <pageMargins left="0.7" right="0.7" top="0.75" bottom="0.75" header="0.3" footer="0.3"/>
  <headerFooter>
    <oddHeader>&amp;L&amp;"Aptos"&amp;12&amp;K000000 EBA Regular Use&amp;1#_x000D_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5698-A8B0-4FB5-B917-B8BAE3E10CFA}">
  <sheetPr codeName="Sheet10"/>
  <dimension ref="A1:CV14"/>
  <sheetViews>
    <sheetView topLeftCell="A3" zoomScale="82" zoomScaleNormal="82" workbookViewId="0">
      <selection activeCell="M13" sqref="M13"/>
    </sheetView>
  </sheetViews>
  <sheetFormatPr defaultColWidth="9.140625" defaultRowHeight="15"/>
  <cols>
    <col min="1" max="3" width="27.7109375" customWidth="1"/>
    <col min="4" max="4" width="27.7109375" style="85" customWidth="1"/>
    <col min="5" max="5" width="30.140625" style="85" bestFit="1" customWidth="1"/>
    <col min="6" max="6" width="31.7109375" style="85" bestFit="1" customWidth="1"/>
    <col min="7" max="10" width="27.7109375" style="85" customWidth="1"/>
    <col min="11" max="11" width="30.42578125" style="85" bestFit="1" customWidth="1"/>
    <col min="12" max="13" width="27.7109375" style="85" customWidth="1"/>
    <col min="14" max="14" width="37.140625" style="85" bestFit="1" customWidth="1"/>
    <col min="15" max="15" width="28.7109375" style="85" bestFit="1" customWidth="1"/>
    <col min="16" max="16" width="27.7109375" customWidth="1"/>
    <col min="17" max="17" width="31.28515625" bestFit="1" customWidth="1"/>
    <col min="18" max="18" width="27.7109375" customWidth="1"/>
  </cols>
  <sheetData>
    <row r="1" spans="1:100" s="57" customFormat="1" ht="2.25" customHeight="1">
      <c r="A1" s="54"/>
      <c r="B1" s="191"/>
      <c r="C1" s="192"/>
      <c r="D1" s="191"/>
      <c r="E1" s="191"/>
      <c r="F1" s="191"/>
      <c r="G1" s="191"/>
      <c r="H1" s="191"/>
      <c r="I1" s="191"/>
      <c r="J1" s="191"/>
      <c r="K1" s="191"/>
      <c r="L1" s="95"/>
      <c r="M1" s="95"/>
      <c r="N1" s="95"/>
      <c r="O1" s="95"/>
      <c r="P1"/>
      <c r="Q1"/>
      <c r="R1"/>
      <c r="S1"/>
      <c r="T1"/>
      <c r="U1"/>
      <c r="V1"/>
      <c r="W1"/>
      <c r="X1"/>
      <c r="Y1"/>
      <c r="Z1"/>
      <c r="AA1"/>
      <c r="AB1"/>
      <c r="AC1"/>
      <c r="AD1"/>
      <c r="AE1"/>
      <c r="AF1"/>
      <c r="AG1"/>
      <c r="AH1"/>
      <c r="AI1"/>
      <c r="AJ1"/>
      <c r="AK1"/>
      <c r="AL1"/>
      <c r="AM1"/>
      <c r="AN1"/>
      <c r="AO1"/>
      <c r="AP1"/>
      <c r="AQ1"/>
      <c r="AR1"/>
    </row>
    <row r="2" spans="1:100" ht="75.75" customHeight="1">
      <c r="A2" s="187" t="s">
        <v>43</v>
      </c>
      <c r="B2" s="58" t="s">
        <v>129</v>
      </c>
      <c r="C2" s="190" t="s">
        <v>130</v>
      </c>
      <c r="D2" s="193"/>
      <c r="E2" s="190"/>
      <c r="F2" s="193"/>
      <c r="G2" s="190"/>
      <c r="H2" s="193"/>
      <c r="I2" s="190"/>
      <c r="J2" s="193"/>
      <c r="K2" s="96"/>
      <c r="L2" s="96"/>
      <c r="M2" s="96"/>
      <c r="N2" s="96"/>
      <c r="O2" s="96"/>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row>
    <row r="3" spans="1:100" s="60" customFormat="1" ht="76.5" customHeight="1">
      <c r="A3" s="187"/>
      <c r="B3" s="59"/>
      <c r="O3" s="97" t="s">
        <v>131</v>
      </c>
    </row>
    <row r="4" spans="1:100" s="57" customFormat="1" ht="24" customHeight="1">
      <c r="A4" s="61" t="s">
        <v>46</v>
      </c>
      <c r="B4" s="184" t="s">
        <v>15</v>
      </c>
      <c r="C4" s="184"/>
      <c r="D4" s="184"/>
      <c r="E4" s="184"/>
      <c r="F4" s="184"/>
      <c r="G4" s="184"/>
      <c r="H4" s="184"/>
      <c r="I4" s="184"/>
      <c r="J4" s="184"/>
      <c r="K4" s="184"/>
      <c r="L4" s="184"/>
      <c r="M4" s="184"/>
      <c r="N4" s="185"/>
      <c r="O4" s="186"/>
      <c r="P4" s="62"/>
      <c r="Q4" s="98"/>
      <c r="R4" s="98"/>
      <c r="S4"/>
      <c r="T4"/>
      <c r="U4"/>
      <c r="V4"/>
      <c r="W4"/>
      <c r="X4"/>
      <c r="Y4"/>
      <c r="Z4"/>
      <c r="AA4"/>
      <c r="AB4"/>
      <c r="AC4"/>
      <c r="AD4"/>
      <c r="AE4"/>
      <c r="AF4"/>
      <c r="AG4"/>
      <c r="AH4"/>
      <c r="AI4"/>
      <c r="AJ4"/>
      <c r="AK4"/>
      <c r="AL4"/>
      <c r="AM4"/>
      <c r="AN4"/>
      <c r="AO4"/>
      <c r="AP4"/>
      <c r="AQ4"/>
      <c r="AR4"/>
    </row>
    <row r="5" spans="1:100" s="15" customFormat="1" ht="78.75" customHeight="1">
      <c r="A5" s="7" t="s">
        <v>50</v>
      </c>
      <c r="B5" s="99" t="s">
        <v>132</v>
      </c>
      <c r="C5" s="99" t="s">
        <v>133</v>
      </c>
      <c r="D5" s="99" t="s">
        <v>134</v>
      </c>
      <c r="E5" s="99" t="s">
        <v>135</v>
      </c>
      <c r="F5" s="99" t="s">
        <v>136</v>
      </c>
      <c r="G5" s="99" t="s">
        <v>137</v>
      </c>
      <c r="H5" s="99" t="s">
        <v>138</v>
      </c>
      <c r="I5" s="99" t="s">
        <v>139</v>
      </c>
      <c r="J5" s="99" t="s">
        <v>140</v>
      </c>
      <c r="K5" s="99" t="s">
        <v>141</v>
      </c>
      <c r="L5" s="99" t="s">
        <v>142</v>
      </c>
      <c r="M5" s="99" t="s">
        <v>143</v>
      </c>
      <c r="N5" s="100" t="s">
        <v>144</v>
      </c>
      <c r="O5" s="101" t="s">
        <v>145</v>
      </c>
      <c r="P5" s="102" t="s">
        <v>146</v>
      </c>
      <c r="Q5" s="99" t="s">
        <v>147</v>
      </c>
      <c r="R5" s="99" t="s">
        <v>148</v>
      </c>
    </row>
    <row r="6" spans="1:100" ht="21" customHeight="1">
      <c r="A6" s="5" t="s">
        <v>80</v>
      </c>
      <c r="B6" s="69" t="s">
        <v>81</v>
      </c>
      <c r="C6" s="70" t="s">
        <v>82</v>
      </c>
      <c r="D6" s="70" t="s">
        <v>83</v>
      </c>
      <c r="E6" s="70" t="s">
        <v>84</v>
      </c>
      <c r="F6" s="70" t="s">
        <v>85</v>
      </c>
      <c r="G6" s="70" t="s">
        <v>86</v>
      </c>
      <c r="H6" s="70" t="s">
        <v>87</v>
      </c>
      <c r="I6" s="70" t="s">
        <v>88</v>
      </c>
      <c r="J6" s="70" t="s">
        <v>89</v>
      </c>
      <c r="K6" s="70" t="s">
        <v>90</v>
      </c>
      <c r="L6" s="70" t="s">
        <v>91</v>
      </c>
      <c r="M6" s="70" t="s">
        <v>92</v>
      </c>
      <c r="N6" s="103" t="s">
        <v>93</v>
      </c>
      <c r="O6" s="72" t="s">
        <v>94</v>
      </c>
      <c r="P6" s="104" t="s">
        <v>95</v>
      </c>
      <c r="Q6" s="70" t="s">
        <v>96</v>
      </c>
      <c r="R6" s="70" t="s">
        <v>97</v>
      </c>
    </row>
    <row r="7" spans="1:100" s="16" customFormat="1" ht="15" customHeight="1">
      <c r="A7" s="6" t="s">
        <v>110</v>
      </c>
      <c r="B7" s="74" t="s">
        <v>149</v>
      </c>
      <c r="C7" s="74" t="s">
        <v>149</v>
      </c>
      <c r="D7" s="74" t="s">
        <v>149</v>
      </c>
      <c r="E7" s="74" t="s">
        <v>149</v>
      </c>
      <c r="F7" s="74" t="s">
        <v>149</v>
      </c>
      <c r="G7" s="74" t="s">
        <v>150</v>
      </c>
      <c r="H7" s="74" t="s">
        <v>150</v>
      </c>
      <c r="I7" s="74" t="s">
        <v>150</v>
      </c>
      <c r="J7" s="74" t="s">
        <v>150</v>
      </c>
      <c r="K7" s="74" t="s">
        <v>150</v>
      </c>
      <c r="L7" s="74" t="s">
        <v>149</v>
      </c>
      <c r="M7" s="74" t="s">
        <v>150</v>
      </c>
      <c r="N7" s="75" t="s">
        <v>149</v>
      </c>
      <c r="O7" s="76" t="s">
        <v>150</v>
      </c>
      <c r="P7" s="77" t="s">
        <v>150</v>
      </c>
      <c r="Q7" s="74" t="s">
        <v>150</v>
      </c>
      <c r="R7" s="74" t="s">
        <v>150</v>
      </c>
      <c r="S7"/>
      <c r="T7"/>
      <c r="U7"/>
      <c r="V7"/>
      <c r="W7"/>
      <c r="X7"/>
      <c r="Y7"/>
      <c r="Z7"/>
      <c r="AA7"/>
      <c r="AB7"/>
      <c r="AC7"/>
      <c r="AD7"/>
      <c r="AE7"/>
      <c r="AF7"/>
      <c r="AG7"/>
      <c r="AH7"/>
      <c r="AI7"/>
      <c r="AJ7"/>
      <c r="AK7"/>
      <c r="AL7"/>
      <c r="AM7"/>
      <c r="AN7"/>
      <c r="AO7"/>
      <c r="AP7"/>
      <c r="AQ7"/>
      <c r="AR7"/>
    </row>
    <row r="8" spans="1:100" s="11" customFormat="1" ht="15" customHeight="1">
      <c r="A8" s="6" t="s">
        <v>111</v>
      </c>
      <c r="B8" s="74" t="s">
        <v>151</v>
      </c>
      <c r="C8" s="74" t="s">
        <v>151</v>
      </c>
      <c r="D8" s="74" t="s">
        <v>151</v>
      </c>
      <c r="E8" s="74" t="s">
        <v>151</v>
      </c>
      <c r="F8" s="74" t="s">
        <v>151</v>
      </c>
      <c r="G8" s="74" t="s">
        <v>151</v>
      </c>
      <c r="H8" s="74" t="s">
        <v>151</v>
      </c>
      <c r="I8" s="74" t="s">
        <v>151</v>
      </c>
      <c r="J8" s="74" t="s">
        <v>151</v>
      </c>
      <c r="K8" s="74" t="s">
        <v>151</v>
      </c>
      <c r="L8" s="74" t="s">
        <v>151</v>
      </c>
      <c r="M8" s="74" t="s">
        <v>151</v>
      </c>
      <c r="N8" s="75" t="s">
        <v>151</v>
      </c>
      <c r="O8" s="76" t="s">
        <v>151</v>
      </c>
      <c r="P8" s="77" t="s">
        <v>151</v>
      </c>
      <c r="Q8" s="74" t="s">
        <v>151</v>
      </c>
      <c r="R8" s="74" t="s">
        <v>151</v>
      </c>
    </row>
    <row r="9" spans="1:100" s="11" customFormat="1" ht="15" customHeight="1">
      <c r="A9" s="6" t="s">
        <v>117</v>
      </c>
      <c r="B9" s="74"/>
      <c r="C9" s="74"/>
      <c r="D9" s="74"/>
      <c r="E9" s="74"/>
      <c r="F9" s="74"/>
      <c r="G9" s="74"/>
      <c r="H9" s="74"/>
      <c r="I9" s="74"/>
      <c r="J9" s="74"/>
      <c r="K9" s="74"/>
      <c r="L9" s="74"/>
      <c r="M9" s="74"/>
      <c r="N9" s="75"/>
      <c r="O9" s="76"/>
      <c r="P9" s="77"/>
      <c r="Q9" s="74"/>
      <c r="R9" s="74"/>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78" t="str">
        <f>IFERROR(LOOKUP(2, 1/((Validations_ext!$B$2:$B$2004=$B$2)*(Validations_ext!$C$2:$C$2004=$G6)), Validations_ext!$J$2:$J$2004), "OK")</f>
        <v>OK</v>
      </c>
      <c r="H10" s="78" t="str">
        <f>IFERROR(LOOKUP(2, 1/((Validations_ext!$B$2:$B$2004=$B$2)*(Validations_ext!$C$2:$C$2004=$H6)), Validations_ext!$J$2:$J$2004), "OK")</f>
        <v>OK</v>
      </c>
      <c r="I10" s="78" t="str" cm="1">
        <f t="array" ref="I10">IFERROR(LOOKUP(2, 1/((Validations_ext!$B$2:$B$2004=$B$2)*(Validations_ext!$C$2:$C$2004=$I6)), Validations_ext!$J$2:$J$2004), "OK")</f>
        <v>OK</v>
      </c>
      <c r="J10" s="78" t="str" cm="1">
        <f t="array" ref="J10">IFERROR(LOOKUP(2, 1/((Validations_ext!$B$2:$B$2004=$B$2)*(Validations_ext!$C$2:$C$2004=$J6)), Validations_ext!$J$2:$J$2004), "OK")</f>
        <v>OK</v>
      </c>
      <c r="K10" s="78" t="str" cm="1">
        <f t="array" ref="K10">IFERROR(LOOKUP(2, 1/((Validations_ext!$B$2:$B$2004=$B$2)*(Validations_ext!$C$2:$C$2004=$K6)), Validations_ext!$J$2:$J$2004), "OK")</f>
        <v>OK</v>
      </c>
      <c r="L10" s="78" t="str">
        <f>IFERROR(LOOKUP(2, 1/((Validations_ext!$B$2:$B$2004=$B$2)*(Validations_ext!$C$2:$C$2004=$L6)), Validations_ext!$J$2:$J$2004), "OK")</f>
        <v>OK</v>
      </c>
      <c r="M10" s="78" t="str">
        <f>IFERROR(LOOKUP(2, 1/((Validations_ext!$B$2:$B$2004=$B$2)*(Validations_ext!$C$2:$C$2004=$M6)), Validations_ext!$J$2:$J$2004), "OK")</f>
        <v>OK</v>
      </c>
      <c r="N10" s="80" t="str">
        <f>IFERROR(LOOKUP(2, 1/((Validations_ext!$B$2:$B$2004=$B$2)*(Validations_ext!$C$2:$C$2004=$N6)), Validations_ext!$J$2:$J$2004), "OK")</f>
        <v>OK</v>
      </c>
      <c r="O10" s="81" t="str">
        <f>IFERROR(LOOKUP(2, 1/((Validations_ext!$B$2:$B$2004=$B$2)*(Validations_ext!$C$2:$C$2004=$O6)), Validations_ext!$J$2:$J$2004), "OK")</f>
        <v>OK</v>
      </c>
      <c r="P10" s="82" t="str">
        <f>IFERROR(LOOKUP(2, 1/((Validations_ext!$B$2:$B$2004=$B$2)*(Validations_ext!$C$2:$C$2004=$P6)), Validations_ext!$J$2:$J$2004), "OK")</f>
        <v>OK</v>
      </c>
      <c r="Q10" s="78" t="str">
        <f>IFERROR(LOOKUP(2, 1/((Validations_ext!$B$2:$B$2004=$B$2)*(Validations_ext!$C$2:$C$2004=$Q6)), Validations_ext!$J$2:$J$2004), "OK")</f>
        <v>OK</v>
      </c>
      <c r="R10" s="78" t="str">
        <f>IFERROR(LOOKUP(2, 1/((Validations_ext!$B$2:$B$2004=$B$2)*(Validations_ext!$C$2:$C$2004=$R6)), Validations_ext!$J$2:$J$2004), "OK")</f>
        <v>OK</v>
      </c>
      <c r="S10"/>
      <c r="T10"/>
      <c r="U10"/>
      <c r="V10"/>
      <c r="W10"/>
      <c r="X10"/>
      <c r="Y10"/>
      <c r="Z10"/>
      <c r="AA10"/>
      <c r="AB10"/>
      <c r="AC10"/>
      <c r="AD10"/>
      <c r="AE10"/>
      <c r="AF10"/>
      <c r="AG10"/>
      <c r="AH10"/>
      <c r="AI10"/>
      <c r="AJ10"/>
      <c r="AK10"/>
      <c r="AL10"/>
      <c r="AM10"/>
      <c r="AN10"/>
      <c r="AO10"/>
      <c r="AP10"/>
      <c r="AQ10"/>
      <c r="AR10"/>
      <c r="AS10"/>
      <c r="AT10"/>
      <c r="AU10"/>
    </row>
    <row r="11" spans="1:100" ht="31.5" customHeight="1">
      <c r="A11" s="4" t="s">
        <v>119</v>
      </c>
      <c r="B11" s="105">
        <v>2</v>
      </c>
      <c r="C11" s="105">
        <v>1</v>
      </c>
      <c r="D11" s="105">
        <v>1</v>
      </c>
      <c r="E11" s="105"/>
      <c r="F11" s="105"/>
      <c r="G11" s="105"/>
      <c r="H11" s="105"/>
      <c r="I11" s="105"/>
      <c r="J11" s="105"/>
      <c r="K11" s="105"/>
      <c r="L11" s="105"/>
      <c r="M11" s="105">
        <v>5</v>
      </c>
      <c r="N11" s="105"/>
      <c r="O11" s="105"/>
      <c r="P11" s="105"/>
      <c r="Q11" s="105"/>
      <c r="R11" s="105"/>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A12" s="57"/>
      <c r="D12"/>
      <c r="E12"/>
      <c r="F12"/>
      <c r="G12"/>
      <c r="H12"/>
      <c r="I12"/>
      <c r="J12"/>
      <c r="K12"/>
      <c r="L12"/>
      <c r="M12"/>
      <c r="N12"/>
      <c r="O12"/>
    </row>
    <row r="13" spans="1:100" s="57" customFormat="1"/>
    <row r="14" spans="1:100">
      <c r="D14"/>
      <c r="E14"/>
      <c r="F14"/>
      <c r="G14"/>
      <c r="H14"/>
      <c r="I14"/>
      <c r="J14"/>
      <c r="K14"/>
      <c r="L14"/>
      <c r="M14"/>
      <c r="N14"/>
      <c r="O14"/>
    </row>
  </sheetData>
  <sheetProtection algorithmName="SHA-512" hashValue="qsdlAf1SdJglnmr/+9n2d3Ainbyr+9Oc+mk2yS8sVIyDyK2Umj4wZOI81UZgoi1Trw5835jP1Cgv+p6ZC3eCRw==" saltValue="y5AZwkLjp5yGtKXZo8e42w==" spinCount="100000" sheet="1" objects="1" scenarios="1"/>
  <mergeCells count="4">
    <mergeCell ref="B1:K1"/>
    <mergeCell ref="B4:O4"/>
    <mergeCell ref="C2:J2"/>
    <mergeCell ref="A2:A3"/>
  </mergeCells>
  <phoneticPr fontId="4" type="noConversion"/>
  <conditionalFormatting sqref="B10:R10">
    <cfRule type="expression" dxfId="59" priority="1">
      <formula>ISNUMBER(SEARCH("error",B10))</formula>
    </cfRule>
  </conditionalFormatting>
  <conditionalFormatting sqref="B12:R12">
    <cfRule type="expression" dxfId="58" priority="2">
      <formula>MOD(ROW(),2)=0</formula>
    </cfRule>
  </conditionalFormatting>
  <dataValidations count="1">
    <dataValidation type="whole" allowBlank="1" showDropDown="1" showInputMessage="1" showErrorMessage="1" error="Please enter a valid Integer" sqref="B11:R11" xr:uid="{41937D9F-AA89-4B45-9AFC-83F435707102}">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EDEB-FC44-4A40-9200-9051EBA0DF79}">
  <sheetPr codeName="Sheet9"/>
  <dimension ref="A1:CV13"/>
  <sheetViews>
    <sheetView topLeftCell="J5" zoomScale="90" zoomScaleNormal="90" workbookViewId="0">
      <selection activeCell="T3" sqref="T3"/>
    </sheetView>
  </sheetViews>
  <sheetFormatPr defaultColWidth="9.140625" defaultRowHeight="15"/>
  <cols>
    <col min="1" max="6" width="27.7109375" style="85" customWidth="1"/>
    <col min="7" max="7" width="9.140625" customWidth="1"/>
  </cols>
  <sheetData>
    <row r="1" spans="1:100" s="57" customFormat="1" ht="2.25" customHeight="1">
      <c r="A1" s="54"/>
      <c r="B1" s="191"/>
      <c r="C1" s="192"/>
      <c r="D1" s="191"/>
      <c r="E1" s="191"/>
      <c r="F1" s="191"/>
      <c r="G1"/>
      <c r="H1"/>
      <c r="I1"/>
      <c r="J1"/>
      <c r="K1"/>
      <c r="L1"/>
      <c r="M1"/>
      <c r="N1"/>
      <c r="O1"/>
      <c r="P1"/>
      <c r="Q1"/>
      <c r="R1"/>
      <c r="S1"/>
      <c r="T1"/>
      <c r="U1"/>
      <c r="V1"/>
      <c r="W1"/>
      <c r="X1"/>
      <c r="Y1"/>
      <c r="Z1"/>
      <c r="AA1"/>
      <c r="AB1"/>
      <c r="AC1"/>
      <c r="AD1"/>
      <c r="AE1"/>
      <c r="AF1"/>
      <c r="AG1"/>
      <c r="AH1"/>
      <c r="AI1"/>
    </row>
    <row r="2" spans="1:100" ht="75.75" customHeight="1">
      <c r="A2" s="187" t="s">
        <v>43</v>
      </c>
      <c r="B2" s="58" t="s">
        <v>152</v>
      </c>
      <c r="C2" s="190" t="s">
        <v>153</v>
      </c>
      <c r="D2" s="193"/>
      <c r="E2" s="190"/>
      <c r="F2" s="193"/>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1:100" s="60" customFormat="1" ht="76.5" customHeight="1">
      <c r="A3" s="187"/>
      <c r="B3" s="59"/>
    </row>
    <row r="4" spans="1:100" s="57" customFormat="1" ht="24" customHeight="1">
      <c r="A4" s="61" t="s">
        <v>46</v>
      </c>
      <c r="B4" s="184" t="s">
        <v>59</v>
      </c>
      <c r="C4" s="184"/>
      <c r="D4" s="184"/>
      <c r="E4" s="185"/>
      <c r="F4" s="186"/>
      <c r="G4"/>
      <c r="H4"/>
      <c r="I4"/>
      <c r="J4"/>
      <c r="K4"/>
      <c r="L4"/>
      <c r="M4"/>
      <c r="N4"/>
      <c r="O4"/>
      <c r="P4"/>
      <c r="Q4"/>
      <c r="R4"/>
      <c r="S4"/>
      <c r="T4"/>
      <c r="U4"/>
      <c r="V4"/>
      <c r="W4"/>
      <c r="X4"/>
      <c r="Y4"/>
      <c r="Z4"/>
      <c r="AA4"/>
      <c r="AB4"/>
      <c r="AC4"/>
      <c r="AD4"/>
      <c r="AE4"/>
      <c r="AF4"/>
      <c r="AG4"/>
      <c r="AH4"/>
      <c r="AI4"/>
    </row>
    <row r="5" spans="1:100" s="15" customFormat="1" ht="78.75" customHeight="1">
      <c r="A5" s="7" t="s">
        <v>50</v>
      </c>
      <c r="B5" s="99" t="s">
        <v>59</v>
      </c>
      <c r="C5" s="99" t="s">
        <v>154</v>
      </c>
      <c r="D5" s="99" t="s">
        <v>155</v>
      </c>
      <c r="E5" s="100" t="s">
        <v>156</v>
      </c>
      <c r="F5" s="101" t="s">
        <v>157</v>
      </c>
      <c r="K5" s="106"/>
    </row>
    <row r="6" spans="1:100" ht="21" customHeight="1">
      <c r="A6" s="5" t="s">
        <v>80</v>
      </c>
      <c r="B6" s="69" t="s">
        <v>81</v>
      </c>
      <c r="C6" s="70" t="s">
        <v>82</v>
      </c>
      <c r="D6" s="70" t="s">
        <v>83</v>
      </c>
      <c r="E6" s="103" t="s">
        <v>84</v>
      </c>
      <c r="F6" s="72" t="s">
        <v>85</v>
      </c>
    </row>
    <row r="7" spans="1:100" s="16" customFormat="1" ht="15" customHeight="1">
      <c r="A7" s="6" t="s">
        <v>110</v>
      </c>
      <c r="B7" s="74" t="s">
        <v>149</v>
      </c>
      <c r="C7" s="74" t="s">
        <v>150</v>
      </c>
      <c r="D7" s="74" t="s">
        <v>150</v>
      </c>
      <c r="E7" s="75" t="s">
        <v>150</v>
      </c>
      <c r="F7" s="76" t="s">
        <v>150</v>
      </c>
      <c r="G7"/>
      <c r="H7"/>
      <c r="I7"/>
      <c r="J7"/>
      <c r="K7"/>
      <c r="L7"/>
      <c r="M7"/>
      <c r="N7"/>
      <c r="O7"/>
      <c r="P7"/>
      <c r="Q7"/>
      <c r="R7"/>
      <c r="S7"/>
      <c r="T7"/>
      <c r="U7"/>
      <c r="V7"/>
      <c r="W7"/>
      <c r="X7"/>
      <c r="Y7"/>
      <c r="Z7"/>
      <c r="AA7"/>
      <c r="AB7"/>
      <c r="AC7"/>
      <c r="AD7"/>
      <c r="AE7"/>
      <c r="AF7"/>
      <c r="AG7"/>
      <c r="AH7"/>
      <c r="AI7"/>
    </row>
    <row r="8" spans="1:100" ht="15" customHeight="1">
      <c r="A8" s="6" t="s">
        <v>111</v>
      </c>
      <c r="B8" s="74" t="s">
        <v>151</v>
      </c>
      <c r="C8" s="74" t="s">
        <v>158</v>
      </c>
      <c r="D8" s="74" t="s">
        <v>151</v>
      </c>
      <c r="E8" s="75" t="s">
        <v>158</v>
      </c>
      <c r="F8" s="76" t="s">
        <v>151</v>
      </c>
    </row>
    <row r="9" spans="1:100" ht="15" customHeight="1">
      <c r="A9" s="6" t="s">
        <v>117</v>
      </c>
      <c r="B9" s="74"/>
      <c r="C9" s="74"/>
      <c r="D9" s="74"/>
      <c r="E9" s="75"/>
      <c r="F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80" t="str">
        <f>IFERROR(LOOKUP(2, 1/((Validations_ext!$B$2:$B$2004=$B$2)*(Validations_ext!$C$2:$C$2004=$E6)), Validations_ext!$J$2:$J$2004), "OK")</f>
        <v>OK</v>
      </c>
      <c r="F10" s="81" t="str">
        <f>IFERROR(LOOKUP(2, 1/((Validations_ext!$B$2:$B$2004=$B$2)*(Validations_ext!$C$2:$C$2004=$F6)), Validations_ext!$J$2:$J$2004), "OK")</f>
        <v>OK</v>
      </c>
      <c r="G10" s="107"/>
      <c r="H10"/>
      <c r="I10"/>
      <c r="J10"/>
      <c r="K10"/>
      <c r="L10"/>
      <c r="M10"/>
      <c r="N10"/>
      <c r="O10"/>
      <c r="P10"/>
      <c r="Q10"/>
      <c r="R10"/>
      <c r="S10"/>
      <c r="T10"/>
      <c r="U10"/>
      <c r="V10"/>
      <c r="W10"/>
      <c r="X10"/>
      <c r="Y10"/>
      <c r="Z10"/>
      <c r="AA10"/>
      <c r="AB10"/>
      <c r="AC10"/>
      <c r="AD10"/>
      <c r="AE10"/>
      <c r="AF10"/>
      <c r="AG10"/>
      <c r="AH10"/>
      <c r="AI10"/>
      <c r="AJ10"/>
      <c r="AK10"/>
      <c r="AL10"/>
    </row>
    <row r="11" spans="1:100" ht="31.5" customHeight="1">
      <c r="A11" s="4" t="s">
        <v>119</v>
      </c>
      <c r="B11" s="105"/>
      <c r="C11" s="108"/>
      <c r="D11" s="105"/>
      <c r="E11" s="108"/>
      <c r="F11" s="105"/>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A12" s="57"/>
      <c r="B12"/>
      <c r="C12"/>
      <c r="D12"/>
      <c r="E12"/>
      <c r="F12"/>
    </row>
    <row r="13" spans="1:100">
      <c r="A13" s="57"/>
      <c r="B13" s="57"/>
      <c r="C13" s="57"/>
      <c r="D13" s="57"/>
      <c r="E13" s="57"/>
      <c r="F13" s="57"/>
    </row>
  </sheetData>
  <sheetProtection algorithmName="SHA-512" hashValue="NxJrOsBXFWReSSPlVsFbe3HjH3V2zD574S7hVZqUtLBaTCEaxTwUlwf3QOchdKMspl9WdGVVj3tfqlqrXNDxvw==" saltValue="bLGHirCHZIzjQyBogiZavQ==" spinCount="100000" sheet="1" objects="1" scenarios="1"/>
  <mergeCells count="4">
    <mergeCell ref="B1:F1"/>
    <mergeCell ref="B4:F4"/>
    <mergeCell ref="C2:F2"/>
    <mergeCell ref="A2:A3"/>
  </mergeCells>
  <conditionalFormatting sqref="B10:F10">
    <cfRule type="expression" dxfId="57" priority="3">
      <formula>ISNUMBER(SEARCH("error",B10))</formula>
    </cfRule>
  </conditionalFormatting>
  <conditionalFormatting sqref="B12:F12">
    <cfRule type="expression" dxfId="56" priority="1">
      <formula>MOD(ROW(),2)=0</formula>
    </cfRule>
  </conditionalFormatting>
  <dataValidations count="2">
    <dataValidation type="whole" allowBlank="1" showDropDown="1" showInputMessage="1" showErrorMessage="1" error="Please enter a valid Integer" sqref="B11 F11 D11" xr:uid="{364750B6-B33D-4A21-9915-EA9303C342AE}">
      <formula1>-999999999999999</formula1>
      <formula2>999999999999999</formula2>
    </dataValidation>
    <dataValidation type="decimal" allowBlank="1" showDropDown="1" showInputMessage="1" showErrorMessage="1" error="Please enter a valid Monetary value" sqref="C11 E11" xr:uid="{E934787B-D8D5-4801-A309-11DED8B494C9}">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E308C-2991-4270-8576-EB478D5612FB}">
  <sheetPr codeName="Sheet11"/>
  <dimension ref="A1:CV12"/>
  <sheetViews>
    <sheetView topLeftCell="A3" zoomScale="90" zoomScaleNormal="90" workbookViewId="0">
      <selection activeCell="C6" sqref="C6"/>
    </sheetView>
  </sheetViews>
  <sheetFormatPr defaultColWidth="9.140625" defaultRowHeight="15"/>
  <cols>
    <col min="1" max="1" width="28.5703125" style="57" customWidth="1"/>
    <col min="2" max="2" width="27.7109375" customWidth="1"/>
    <col min="3" max="6" width="27.7109375" style="85" customWidth="1"/>
    <col min="7" max="8" width="27.7109375" customWidth="1"/>
  </cols>
  <sheetData>
    <row r="1" spans="1:100" s="57" customFormat="1" ht="2.25" customHeight="1">
      <c r="A1" s="54"/>
      <c r="B1" s="191"/>
      <c r="C1" s="192"/>
      <c r="D1" s="191"/>
      <c r="E1" s="191"/>
      <c r="F1" s="191"/>
      <c r="G1"/>
      <c r="H1"/>
      <c r="I1"/>
      <c r="J1"/>
      <c r="K1"/>
      <c r="L1"/>
      <c r="M1"/>
      <c r="N1"/>
      <c r="O1"/>
      <c r="P1"/>
      <c r="Q1"/>
      <c r="R1"/>
      <c r="S1"/>
      <c r="T1"/>
      <c r="U1"/>
      <c r="V1"/>
      <c r="W1"/>
      <c r="X1"/>
      <c r="Y1"/>
      <c r="Z1"/>
      <c r="AA1"/>
      <c r="AB1"/>
      <c r="AC1"/>
      <c r="AD1"/>
      <c r="AE1"/>
      <c r="AF1"/>
      <c r="AG1"/>
      <c r="AH1"/>
      <c r="AI1"/>
    </row>
    <row r="2" spans="1:100" ht="75.75" customHeight="1">
      <c r="A2" s="187" t="s">
        <v>43</v>
      </c>
      <c r="B2" s="58" t="s">
        <v>159</v>
      </c>
      <c r="C2" s="190" t="s">
        <v>160</v>
      </c>
      <c r="D2" s="193"/>
      <c r="E2" s="190"/>
      <c r="F2" s="193"/>
      <c r="G2" s="190"/>
      <c r="H2" s="193"/>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1:100" s="60" customFormat="1" ht="76.5" customHeight="1">
      <c r="A3" s="187"/>
      <c r="B3" s="59"/>
    </row>
    <row r="4" spans="1:100" s="57" customFormat="1" ht="24" customHeight="1">
      <c r="A4" s="61" t="s">
        <v>46</v>
      </c>
      <c r="B4" s="184" t="s">
        <v>60</v>
      </c>
      <c r="C4" s="184"/>
      <c r="D4" s="184"/>
      <c r="E4" s="184"/>
      <c r="F4" s="184"/>
      <c r="G4" s="185"/>
      <c r="H4" s="186"/>
      <c r="I4"/>
      <c r="J4"/>
      <c r="K4"/>
      <c r="L4"/>
      <c r="M4"/>
      <c r="N4"/>
      <c r="O4"/>
      <c r="P4"/>
      <c r="Q4"/>
      <c r="R4"/>
      <c r="S4"/>
      <c r="T4"/>
      <c r="U4"/>
      <c r="V4"/>
      <c r="W4"/>
      <c r="X4"/>
      <c r="Y4"/>
      <c r="Z4"/>
      <c r="AA4"/>
      <c r="AB4"/>
      <c r="AC4"/>
      <c r="AD4"/>
      <c r="AE4"/>
      <c r="AF4"/>
      <c r="AG4"/>
      <c r="AH4"/>
      <c r="AI4"/>
    </row>
    <row r="5" spans="1:100" s="15" customFormat="1" ht="78.75" customHeight="1">
      <c r="A5" s="7" t="s">
        <v>50</v>
      </c>
      <c r="B5" s="99" t="s">
        <v>161</v>
      </c>
      <c r="C5" s="99" t="s">
        <v>162</v>
      </c>
      <c r="D5" s="99" t="s">
        <v>163</v>
      </c>
      <c r="E5" s="99" t="s">
        <v>164</v>
      </c>
      <c r="F5" s="99" t="s">
        <v>165</v>
      </c>
      <c r="G5" s="100" t="s">
        <v>166</v>
      </c>
      <c r="H5" s="101" t="s">
        <v>167</v>
      </c>
    </row>
    <row r="6" spans="1:100" ht="21" customHeight="1">
      <c r="A6" s="5" t="s">
        <v>80</v>
      </c>
      <c r="B6" s="69" t="s">
        <v>81</v>
      </c>
      <c r="C6" s="70" t="s">
        <v>82</v>
      </c>
      <c r="D6" s="70" t="s">
        <v>83</v>
      </c>
      <c r="E6" s="70" t="s">
        <v>84</v>
      </c>
      <c r="F6" s="70" t="s">
        <v>85</v>
      </c>
      <c r="G6" s="103" t="s">
        <v>86</v>
      </c>
      <c r="H6" s="72" t="s">
        <v>87</v>
      </c>
    </row>
    <row r="7" spans="1:100" s="16" customFormat="1" ht="15" customHeight="1">
      <c r="A7" s="6" t="s">
        <v>110</v>
      </c>
      <c r="B7" s="74" t="s">
        <v>149</v>
      </c>
      <c r="C7" s="74" t="s">
        <v>150</v>
      </c>
      <c r="D7" s="74" t="s">
        <v>150</v>
      </c>
      <c r="E7" s="74" t="s">
        <v>150</v>
      </c>
      <c r="F7" s="74" t="s">
        <v>150</v>
      </c>
      <c r="G7" s="75" t="s">
        <v>150</v>
      </c>
      <c r="H7" s="76" t="s">
        <v>150</v>
      </c>
      <c r="I7"/>
      <c r="J7"/>
      <c r="K7"/>
      <c r="L7"/>
      <c r="M7"/>
      <c r="N7"/>
      <c r="O7"/>
      <c r="P7"/>
      <c r="Q7"/>
      <c r="R7"/>
      <c r="S7"/>
      <c r="T7"/>
      <c r="U7"/>
      <c r="V7"/>
      <c r="W7"/>
      <c r="X7"/>
      <c r="Y7"/>
      <c r="Z7"/>
      <c r="AA7"/>
      <c r="AB7"/>
      <c r="AC7"/>
      <c r="AD7"/>
      <c r="AE7"/>
      <c r="AF7"/>
      <c r="AG7"/>
      <c r="AH7"/>
      <c r="AI7"/>
    </row>
    <row r="8" spans="1:100" ht="15" customHeight="1">
      <c r="A8" s="6" t="s">
        <v>111</v>
      </c>
      <c r="B8" s="74" t="s">
        <v>151</v>
      </c>
      <c r="C8" s="74" t="s">
        <v>151</v>
      </c>
      <c r="D8" s="74" t="s">
        <v>158</v>
      </c>
      <c r="E8" s="74" t="s">
        <v>151</v>
      </c>
      <c r="F8" s="74" t="s">
        <v>158</v>
      </c>
      <c r="G8" s="75" t="s">
        <v>151</v>
      </c>
      <c r="H8" s="76" t="s">
        <v>151</v>
      </c>
    </row>
    <row r="9" spans="1:100" ht="15" customHeight="1">
      <c r="A9" s="6" t="s">
        <v>117</v>
      </c>
      <c r="B9" s="74"/>
      <c r="C9" s="74"/>
      <c r="D9" s="74"/>
      <c r="E9" s="74"/>
      <c r="F9" s="74"/>
      <c r="G9" s="75"/>
      <c r="H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80" t="str">
        <f>IFERROR(LOOKUP(2, 1/((Validations_ext!$B$2:$B$2004=$B$2)*(Validations_ext!$C$2:$C$2004=$G6)), Validations_ext!$J$2:$J$2004), "OK")</f>
        <v>OK</v>
      </c>
      <c r="H10" s="81" t="str">
        <f>IFERROR(LOOKUP(2, 1/((Validations_ext!$B$2:$B$2004=$B$2)*(Validations_ext!$C$2:$C$2004=$H6)), Validations_ext!$J$2:$J$2004), "OK")</f>
        <v>OK</v>
      </c>
      <c r="I10"/>
      <c r="J10"/>
      <c r="K10"/>
      <c r="L10"/>
      <c r="M10"/>
      <c r="N10"/>
      <c r="O10"/>
      <c r="P10"/>
      <c r="Q10"/>
      <c r="R10"/>
      <c r="S10"/>
      <c r="T10"/>
      <c r="U10"/>
      <c r="V10"/>
      <c r="W10"/>
      <c r="X10"/>
      <c r="Y10"/>
      <c r="Z10"/>
      <c r="AA10"/>
      <c r="AB10"/>
      <c r="AC10"/>
      <c r="AD10"/>
      <c r="AE10"/>
      <c r="AF10"/>
      <c r="AG10"/>
      <c r="AH10"/>
      <c r="AI10"/>
      <c r="AJ10"/>
      <c r="AK10"/>
      <c r="AL10"/>
    </row>
    <row r="11" spans="1:100" ht="31.5" customHeight="1">
      <c r="A11" s="4" t="s">
        <v>119</v>
      </c>
      <c r="B11" s="105"/>
      <c r="C11" s="105"/>
      <c r="D11" s="108"/>
      <c r="E11" s="105"/>
      <c r="F11" s="108"/>
      <c r="G11" s="105"/>
      <c r="H11" s="105"/>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c r="E12"/>
      <c r="F12"/>
    </row>
  </sheetData>
  <sheetProtection algorithmName="SHA-512" hashValue="BLAbcbe08RGcWmevRP2Oi47FvXajYx0STn6lEDWmR+ZfBAKbWu9iwmJ4dwCXZZYyG0TKGb53CLb8Jr5+WO6Etg==" saltValue="Ns8LKAtEp/13WM2Ac8RWgA==" spinCount="100000" sheet="1" objects="1" scenarios="1"/>
  <mergeCells count="4">
    <mergeCell ref="B1:F1"/>
    <mergeCell ref="B4:H4"/>
    <mergeCell ref="C2:H2"/>
    <mergeCell ref="A2:A3"/>
  </mergeCells>
  <phoneticPr fontId="4" type="noConversion"/>
  <conditionalFormatting sqref="B10:H10">
    <cfRule type="expression" dxfId="55" priority="3">
      <formula>ISNUMBER(SEARCH("error",B10))</formula>
    </cfRule>
  </conditionalFormatting>
  <conditionalFormatting sqref="B12:H12">
    <cfRule type="expression" dxfId="54" priority="1">
      <formula>MOD(ROW(),2)=0</formula>
    </cfRule>
  </conditionalFormatting>
  <dataValidations count="2">
    <dataValidation type="whole" allowBlank="1" showDropDown="1" showInputMessage="1" showErrorMessage="1" error="Please enter a valid Integer" sqref="G11:H11 E11 B11:C11" xr:uid="{F1212F5B-4782-438A-98DC-D5F46B76CAAA}">
      <formula1>-999999999999999</formula1>
      <formula2>999999999999999</formula2>
    </dataValidation>
    <dataValidation type="decimal" allowBlank="1" showDropDown="1" showInputMessage="1" showErrorMessage="1" error="Please enter a valid Monetary value" sqref="D11 F11" xr:uid="{F2FF1BBA-889B-4EA1-A380-E604CA74E0F4}">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08EF-94C3-4FBF-8C86-360F645BD803}">
  <sheetPr codeName="Sheet12"/>
  <dimension ref="A1:CV12"/>
  <sheetViews>
    <sheetView zoomScale="90" zoomScaleNormal="90" workbookViewId="0">
      <selection activeCell="C5" sqref="C5"/>
    </sheetView>
  </sheetViews>
  <sheetFormatPr defaultColWidth="9.140625" defaultRowHeight="15"/>
  <cols>
    <col min="1" max="1" width="28.5703125" style="57" customWidth="1"/>
    <col min="2" max="2" width="27.7109375" customWidth="1"/>
    <col min="3" max="6" width="27.7109375" style="85" customWidth="1"/>
  </cols>
  <sheetData>
    <row r="1" spans="1:100" s="57" customFormat="1" ht="2.25" customHeight="1">
      <c r="A1" s="54"/>
      <c r="B1" s="191"/>
      <c r="C1" s="192"/>
      <c r="D1" s="191"/>
      <c r="E1" s="191"/>
      <c r="F1" s="191"/>
      <c r="G1"/>
      <c r="H1"/>
      <c r="I1"/>
      <c r="J1"/>
      <c r="K1"/>
      <c r="L1"/>
      <c r="M1"/>
      <c r="N1"/>
      <c r="O1"/>
      <c r="P1"/>
      <c r="Q1"/>
      <c r="R1"/>
      <c r="S1"/>
      <c r="T1"/>
      <c r="U1"/>
      <c r="V1"/>
      <c r="W1"/>
      <c r="X1"/>
      <c r="Y1"/>
      <c r="Z1"/>
      <c r="AA1"/>
      <c r="AB1"/>
      <c r="AC1"/>
      <c r="AD1"/>
      <c r="AE1"/>
      <c r="AF1"/>
      <c r="AG1"/>
    </row>
    <row r="2" spans="1:100" ht="75.75" customHeight="1">
      <c r="A2" s="187" t="s">
        <v>43</v>
      </c>
      <c r="B2" s="58" t="s">
        <v>168</v>
      </c>
      <c r="C2" s="190" t="s">
        <v>169</v>
      </c>
      <c r="D2" s="193"/>
      <c r="E2" s="190"/>
      <c r="F2" s="193"/>
      <c r="G2" s="15"/>
      <c r="H2" s="15"/>
      <c r="I2" s="15"/>
      <c r="J2" s="15"/>
      <c r="K2" s="15"/>
      <c r="L2" s="15"/>
      <c r="M2" s="15"/>
      <c r="N2" s="15"/>
      <c r="O2" s="15"/>
      <c r="P2" s="15"/>
      <c r="Q2" s="15"/>
      <c r="R2" s="15"/>
      <c r="S2" s="15"/>
      <c r="T2" s="15"/>
      <c r="U2" s="15"/>
      <c r="V2" s="15"/>
      <c r="W2" s="15"/>
      <c r="X2" s="15"/>
      <c r="Y2" s="15"/>
      <c r="Z2" s="15"/>
      <c r="AA2" s="15"/>
      <c r="AB2" s="15"/>
      <c r="AC2" s="15"/>
      <c r="AD2" s="15"/>
      <c r="AE2" s="15"/>
      <c r="AF2" s="15"/>
    </row>
    <row r="3" spans="1:100" s="60" customFormat="1" ht="76.5" customHeight="1">
      <c r="A3" s="187"/>
      <c r="B3" s="59"/>
    </row>
    <row r="4" spans="1:100" s="57" customFormat="1" ht="24" customHeight="1">
      <c r="A4" s="61" t="s">
        <v>46</v>
      </c>
      <c r="B4" s="184" t="s">
        <v>61</v>
      </c>
      <c r="C4" s="184"/>
      <c r="D4" s="184"/>
      <c r="E4" s="185"/>
      <c r="F4" s="186"/>
      <c r="G4"/>
      <c r="H4"/>
      <c r="I4"/>
      <c r="J4"/>
      <c r="K4"/>
      <c r="L4"/>
      <c r="M4"/>
      <c r="N4"/>
      <c r="O4"/>
      <c r="P4"/>
      <c r="Q4"/>
      <c r="R4"/>
      <c r="S4"/>
      <c r="T4"/>
      <c r="U4"/>
      <c r="V4"/>
      <c r="W4"/>
      <c r="X4"/>
      <c r="Y4"/>
      <c r="Z4"/>
      <c r="AA4"/>
      <c r="AB4"/>
      <c r="AC4"/>
      <c r="AD4"/>
      <c r="AE4"/>
      <c r="AF4"/>
      <c r="AG4"/>
    </row>
    <row r="5" spans="1:100" s="15" customFormat="1" ht="78.75" customHeight="1">
      <c r="A5" s="7" t="s">
        <v>50</v>
      </c>
      <c r="B5" s="99" t="s">
        <v>170</v>
      </c>
      <c r="C5" s="99" t="s">
        <v>171</v>
      </c>
      <c r="D5" s="99" t="s">
        <v>172</v>
      </c>
      <c r="E5" s="100" t="s">
        <v>173</v>
      </c>
      <c r="F5" s="101" t="s">
        <v>174</v>
      </c>
    </row>
    <row r="6" spans="1:100" ht="21" customHeight="1">
      <c r="A6" s="5" t="s">
        <v>80</v>
      </c>
      <c r="B6" s="69" t="s">
        <v>81</v>
      </c>
      <c r="C6" s="70" t="s">
        <v>82</v>
      </c>
      <c r="D6" s="70" t="s">
        <v>83</v>
      </c>
      <c r="E6" s="103" t="s">
        <v>84</v>
      </c>
      <c r="F6" s="72" t="s">
        <v>85</v>
      </c>
    </row>
    <row r="7" spans="1:100" s="16" customFormat="1" ht="15" customHeight="1">
      <c r="A7" s="6" t="s">
        <v>110</v>
      </c>
      <c r="B7" s="74" t="s">
        <v>150</v>
      </c>
      <c r="C7" s="74" t="s">
        <v>150</v>
      </c>
      <c r="D7" s="74" t="s">
        <v>149</v>
      </c>
      <c r="E7" s="75" t="s">
        <v>150</v>
      </c>
      <c r="F7" s="76" t="s">
        <v>150</v>
      </c>
      <c r="G7"/>
      <c r="H7"/>
      <c r="I7"/>
      <c r="J7"/>
      <c r="K7"/>
      <c r="L7"/>
      <c r="M7"/>
      <c r="N7"/>
      <c r="O7"/>
      <c r="P7"/>
      <c r="Q7"/>
      <c r="R7"/>
      <c r="S7"/>
      <c r="T7"/>
      <c r="U7"/>
      <c r="V7"/>
      <c r="W7"/>
      <c r="X7"/>
      <c r="Y7"/>
      <c r="Z7"/>
      <c r="AA7"/>
      <c r="AB7"/>
      <c r="AC7"/>
      <c r="AD7"/>
      <c r="AE7"/>
      <c r="AF7"/>
      <c r="AG7"/>
    </row>
    <row r="8" spans="1:100" ht="15" customHeight="1">
      <c r="A8" s="6" t="s">
        <v>111</v>
      </c>
      <c r="B8" s="74" t="s">
        <v>151</v>
      </c>
      <c r="C8" s="74" t="s">
        <v>158</v>
      </c>
      <c r="D8" s="74" t="s">
        <v>158</v>
      </c>
      <c r="E8" s="75" t="s">
        <v>151</v>
      </c>
      <c r="F8" s="76" t="s">
        <v>151</v>
      </c>
    </row>
    <row r="9" spans="1:100" ht="15" customHeight="1">
      <c r="A9" s="6" t="s">
        <v>117</v>
      </c>
      <c r="B9" s="74"/>
      <c r="C9" s="74"/>
      <c r="D9" s="74"/>
      <c r="E9" s="75"/>
      <c r="F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80" t="str">
        <f>IFERROR(LOOKUP(2, 1/((Validations_ext!$B$2:$B$2004=$B$2)*(Validations_ext!$C$2:$C$2004=$E6)), Validations_ext!$J$2:$J$2004), "OK")</f>
        <v>OK</v>
      </c>
      <c r="F10" s="81" t="str">
        <f>IFERROR(LOOKUP(2, 1/((Validations_ext!$B$2:$B$2004=$B$2)*(Validations_ext!$C$2:$C$2004=$F6)), Validations_ext!$J$2:$J$2004), "OK")</f>
        <v>OK</v>
      </c>
      <c r="G10"/>
      <c r="H10"/>
      <c r="I10"/>
      <c r="J10"/>
      <c r="K10"/>
      <c r="L10"/>
      <c r="M10"/>
      <c r="N10"/>
      <c r="O10"/>
      <c r="P10"/>
      <c r="Q10"/>
      <c r="R10"/>
      <c r="S10"/>
      <c r="T10"/>
      <c r="U10"/>
      <c r="V10"/>
      <c r="W10"/>
      <c r="X10"/>
      <c r="Y10"/>
      <c r="Z10"/>
      <c r="AA10"/>
      <c r="AB10"/>
      <c r="AC10"/>
      <c r="AD10"/>
      <c r="AE10"/>
      <c r="AF10"/>
      <c r="AG10"/>
      <c r="AH10"/>
      <c r="AI10"/>
      <c r="AJ10"/>
    </row>
    <row r="11" spans="1:100" ht="31.5" customHeight="1">
      <c r="A11" s="4" t="s">
        <v>119</v>
      </c>
      <c r="B11" s="105"/>
      <c r="C11" s="108"/>
      <c r="D11" s="108"/>
      <c r="E11" s="105"/>
      <c r="F11" s="105"/>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c r="E12"/>
      <c r="F12"/>
    </row>
  </sheetData>
  <sheetProtection algorithmName="SHA-512" hashValue="SeLwqnGEpa4LyxoiRfjdTQlAY0dyaHaU+lwCzGvPabsDX+3UPrsJSuJg3jKOUIPrA0qqI9CI66eCAD8n9ciLfA==" saltValue="w9fuTlgyL1JphbyztjOBEA==" spinCount="100000" sheet="1" objects="1" scenarios="1"/>
  <mergeCells count="4">
    <mergeCell ref="B1:F1"/>
    <mergeCell ref="B4:F4"/>
    <mergeCell ref="C2:F2"/>
    <mergeCell ref="A2:A3"/>
  </mergeCells>
  <conditionalFormatting sqref="B10:F10">
    <cfRule type="expression" dxfId="53" priority="3">
      <formula>ISNUMBER(SEARCH("error",B10))</formula>
    </cfRule>
  </conditionalFormatting>
  <conditionalFormatting sqref="B12:F12">
    <cfRule type="expression" dxfId="52" priority="1">
      <formula>MOD(ROW(),2)=0</formula>
    </cfRule>
  </conditionalFormatting>
  <dataValidations count="2">
    <dataValidation type="whole" allowBlank="1" showDropDown="1" showInputMessage="1" showErrorMessage="1" error="Please enter a valid Integer" sqref="B11 E11:F11" xr:uid="{55E7B478-6B66-4A0A-A571-AFA37906EC7D}">
      <formula1>-999999999999999</formula1>
      <formula2>999999999999999</formula2>
    </dataValidation>
    <dataValidation type="decimal" allowBlank="1" showDropDown="1" showInputMessage="1" showErrorMessage="1" error="Please enter a valid Monetary value" sqref="C11:D11" xr:uid="{A56E6427-B574-4268-83B1-B519F085C90A}">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59FB-FEE5-4595-8DA6-EC84006897DD}">
  <sheetPr codeName="Sheet13"/>
  <dimension ref="A1:CV18"/>
  <sheetViews>
    <sheetView zoomScale="85" zoomScaleNormal="85" workbookViewId="0">
      <selection activeCell="H28" sqref="H28"/>
    </sheetView>
  </sheetViews>
  <sheetFormatPr defaultColWidth="15.42578125" defaultRowHeight="15"/>
  <cols>
    <col min="1" max="1" width="28.5703125" style="57" customWidth="1"/>
    <col min="2" max="2" width="27.7109375" customWidth="1"/>
    <col min="3" max="6" width="27.7109375" style="85" customWidth="1"/>
    <col min="7" max="14" width="27.7109375" customWidth="1"/>
  </cols>
  <sheetData>
    <row r="1" spans="1:100" s="57" customFormat="1" ht="2.25" customHeight="1">
      <c r="A1" s="54"/>
      <c r="B1" s="191"/>
      <c r="C1" s="192"/>
      <c r="D1" s="191"/>
      <c r="E1" s="191"/>
      <c r="F1" s="191"/>
      <c r="G1"/>
      <c r="H1"/>
      <c r="I1"/>
      <c r="J1"/>
      <c r="K1"/>
      <c r="L1"/>
      <c r="M1"/>
      <c r="N1"/>
      <c r="O1"/>
      <c r="P1"/>
      <c r="Q1"/>
      <c r="R1"/>
      <c r="S1"/>
      <c r="T1"/>
      <c r="U1"/>
      <c r="V1"/>
      <c r="W1"/>
      <c r="X1"/>
      <c r="Y1"/>
      <c r="Z1"/>
      <c r="AA1"/>
      <c r="AB1"/>
      <c r="AC1"/>
      <c r="AD1"/>
      <c r="AE1"/>
      <c r="AF1"/>
      <c r="AG1"/>
    </row>
    <row r="2" spans="1:100" ht="75.75" customHeight="1">
      <c r="A2" s="187" t="s">
        <v>43</v>
      </c>
      <c r="B2" s="58" t="s">
        <v>175</v>
      </c>
      <c r="C2" s="190" t="s">
        <v>176</v>
      </c>
      <c r="D2" s="193"/>
      <c r="E2" s="190"/>
      <c r="F2" s="193"/>
      <c r="G2" s="190"/>
      <c r="H2" s="193"/>
      <c r="I2" s="190"/>
      <c r="J2" s="193"/>
      <c r="K2" s="15"/>
      <c r="L2" s="15"/>
      <c r="M2" s="15"/>
      <c r="N2" s="15"/>
      <c r="O2" s="15"/>
      <c r="P2" s="15"/>
      <c r="Q2" s="15"/>
      <c r="R2" s="15"/>
      <c r="S2" s="15"/>
      <c r="T2" s="15"/>
      <c r="U2" s="15"/>
      <c r="V2" s="15"/>
      <c r="W2" s="15"/>
      <c r="X2" s="15"/>
      <c r="Y2" s="15"/>
      <c r="Z2" s="15"/>
      <c r="AA2" s="15"/>
      <c r="AB2" s="15"/>
      <c r="AC2" s="15"/>
      <c r="AD2" s="15"/>
      <c r="AE2" s="15"/>
      <c r="AF2" s="15"/>
    </row>
    <row r="3" spans="1:100" s="60" customFormat="1" ht="76.5" customHeight="1">
      <c r="A3" s="187"/>
      <c r="B3" s="59"/>
    </row>
    <row r="4" spans="1:100" s="57" customFormat="1" ht="24" customHeight="1">
      <c r="A4" s="61" t="s">
        <v>46</v>
      </c>
      <c r="B4" s="184" t="s">
        <v>177</v>
      </c>
      <c r="C4" s="184"/>
      <c r="D4" s="184"/>
      <c r="E4" s="184"/>
      <c r="F4" s="184"/>
      <c r="G4" s="184"/>
      <c r="H4" s="184"/>
      <c r="I4" s="184"/>
      <c r="J4" s="185"/>
      <c r="K4" s="186"/>
      <c r="L4" s="194" t="s">
        <v>178</v>
      </c>
      <c r="M4" s="185"/>
      <c r="N4" s="186"/>
      <c r="O4"/>
      <c r="P4"/>
      <c r="Q4"/>
      <c r="R4"/>
      <c r="S4"/>
      <c r="T4"/>
      <c r="U4"/>
      <c r="V4"/>
      <c r="W4"/>
      <c r="X4"/>
      <c r="Y4"/>
      <c r="Z4"/>
      <c r="AA4"/>
      <c r="AB4"/>
      <c r="AC4"/>
      <c r="AD4"/>
      <c r="AE4"/>
      <c r="AF4"/>
      <c r="AG4"/>
    </row>
    <row r="5" spans="1:100" s="15" customFormat="1" ht="78.75" customHeight="1">
      <c r="A5" s="7" t="s">
        <v>50</v>
      </c>
      <c r="B5" s="99" t="s">
        <v>179</v>
      </c>
      <c r="C5" s="99" t="s">
        <v>180</v>
      </c>
      <c r="D5" s="99" t="s">
        <v>181</v>
      </c>
      <c r="E5" s="99" t="s">
        <v>182</v>
      </c>
      <c r="F5" s="99" t="s">
        <v>183</v>
      </c>
      <c r="G5" s="99" t="s">
        <v>184</v>
      </c>
      <c r="H5" s="99" t="s">
        <v>185</v>
      </c>
      <c r="I5" s="99" t="s">
        <v>186</v>
      </c>
      <c r="J5" s="100" t="s">
        <v>187</v>
      </c>
      <c r="K5" s="101" t="s">
        <v>188</v>
      </c>
      <c r="L5" s="102" t="s">
        <v>189</v>
      </c>
      <c r="M5" s="100" t="s">
        <v>190</v>
      </c>
      <c r="N5" s="101" t="s">
        <v>191</v>
      </c>
    </row>
    <row r="6" spans="1:100" ht="21" customHeight="1">
      <c r="A6" s="5" t="s">
        <v>80</v>
      </c>
      <c r="B6" s="69" t="s">
        <v>81</v>
      </c>
      <c r="C6" s="70" t="s">
        <v>82</v>
      </c>
      <c r="D6" s="70" t="s">
        <v>83</v>
      </c>
      <c r="E6" s="70" t="s">
        <v>84</v>
      </c>
      <c r="F6" s="70" t="s">
        <v>85</v>
      </c>
      <c r="G6" s="69" t="s">
        <v>86</v>
      </c>
      <c r="H6" s="70" t="s">
        <v>87</v>
      </c>
      <c r="I6" s="70" t="s">
        <v>88</v>
      </c>
      <c r="J6" s="103" t="s">
        <v>89</v>
      </c>
      <c r="K6" s="72" t="s">
        <v>90</v>
      </c>
      <c r="L6" s="104" t="s">
        <v>91</v>
      </c>
      <c r="M6" s="103" t="s">
        <v>92</v>
      </c>
      <c r="N6" s="72" t="s">
        <v>93</v>
      </c>
    </row>
    <row r="7" spans="1:100" s="16" customFormat="1" ht="15" customHeight="1">
      <c r="A7" s="6" t="s">
        <v>110</v>
      </c>
      <c r="B7" s="74" t="s">
        <v>149</v>
      </c>
      <c r="C7" s="74" t="s">
        <v>149</v>
      </c>
      <c r="D7" s="74" t="s">
        <v>149</v>
      </c>
      <c r="E7" s="74" t="s">
        <v>149</v>
      </c>
      <c r="F7" s="74" t="s">
        <v>150</v>
      </c>
      <c r="G7" s="74" t="s">
        <v>149</v>
      </c>
      <c r="H7" s="74" t="s">
        <v>150</v>
      </c>
      <c r="I7" s="74" t="s">
        <v>150</v>
      </c>
      <c r="J7" s="75" t="s">
        <v>150</v>
      </c>
      <c r="K7" s="76" t="s">
        <v>150</v>
      </c>
      <c r="L7" s="77" t="s">
        <v>150</v>
      </c>
      <c r="M7" s="75" t="s">
        <v>150</v>
      </c>
      <c r="N7" s="76" t="s">
        <v>150</v>
      </c>
      <c r="O7"/>
      <c r="P7"/>
      <c r="Q7"/>
      <c r="R7"/>
      <c r="S7"/>
      <c r="T7"/>
      <c r="U7"/>
      <c r="V7"/>
      <c r="W7"/>
      <c r="X7"/>
      <c r="Y7"/>
      <c r="Z7"/>
      <c r="AA7"/>
      <c r="AB7"/>
      <c r="AC7"/>
      <c r="AD7"/>
      <c r="AE7"/>
      <c r="AF7"/>
      <c r="AG7"/>
    </row>
    <row r="8" spans="1:100" ht="15" customHeight="1">
      <c r="A8" s="6" t="s">
        <v>111</v>
      </c>
      <c r="B8" s="74" t="s">
        <v>151</v>
      </c>
      <c r="C8" s="74" t="s">
        <v>158</v>
      </c>
      <c r="D8" s="74" t="s">
        <v>151</v>
      </c>
      <c r="E8" s="74" t="s">
        <v>151</v>
      </c>
      <c r="F8" s="74" t="s">
        <v>158</v>
      </c>
      <c r="G8" s="74" t="s">
        <v>151</v>
      </c>
      <c r="H8" s="74" t="s">
        <v>151</v>
      </c>
      <c r="I8" s="74" t="s">
        <v>151</v>
      </c>
      <c r="J8" s="75" t="s">
        <v>151</v>
      </c>
      <c r="K8" s="76" t="s">
        <v>151</v>
      </c>
      <c r="L8" s="77" t="s">
        <v>151</v>
      </c>
      <c r="M8" s="75" t="s">
        <v>158</v>
      </c>
      <c r="N8" s="76" t="s">
        <v>158</v>
      </c>
    </row>
    <row r="9" spans="1:100" ht="15" customHeight="1">
      <c r="A9" s="6" t="s">
        <v>117</v>
      </c>
      <c r="B9" s="74"/>
      <c r="C9" s="74"/>
      <c r="D9" s="74"/>
      <c r="E9" s="74"/>
      <c r="F9" s="74"/>
      <c r="G9" s="74"/>
      <c r="H9" s="74"/>
      <c r="I9" s="74"/>
      <c r="J9" s="75"/>
      <c r="K9" s="76"/>
      <c r="L9" s="77"/>
      <c r="M9" s="75"/>
      <c r="N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78" t="str">
        <f>IFERROR(LOOKUP(2, 1/((Validations_ext!$B$2:$B$2004=$B$2)*(Validations_ext!$C$2:$C$2004=$D6)), Validations_ext!$J$2:$J$2004), "OK")</f>
        <v>OK</v>
      </c>
      <c r="E10" s="78" t="str">
        <f>IFERROR(LOOKUP(2, 1/((Validations_ext!$B$2:$B$2004=$B$2)*(Validations_ext!$C$2:$C$2004=$E6)), Validations_ext!$J$2:$J$2004), "OK")</f>
        <v>OK</v>
      </c>
      <c r="F10" s="78" t="str">
        <f>IFERROR(LOOKUP(2, 1/((Validations_ext!$B$2:$B$2004=$B$2)*(Validations_ext!$C$2:$C$2004=$F6)), Validations_ext!$J$2:$J$2004), "OK")</f>
        <v>OK</v>
      </c>
      <c r="G10" s="78" t="str">
        <f>IFERROR(LOOKUP(2, 1/((Validations_ext!$B$2:$B$2004=$B$2)*(Validations_ext!$C$2:$C$2004=$G6)), Validations_ext!$J$2:$J$2004), "OK")</f>
        <v>OK</v>
      </c>
      <c r="H10" s="78" t="str">
        <f>IFERROR(LOOKUP(2, 1/((Validations_ext!$B$2:$B$2004=$B$2)*(Validations_ext!$C$2:$C$2004=$H6)), Validations_ext!$J$2:$J$2004), "OK")</f>
        <v>OK</v>
      </c>
      <c r="I10" s="78" t="str">
        <f>IFERROR(LOOKUP(2, 1/((Validations_ext!$B$2:$B$2004=$B$2)*(Validations_ext!$C$2:$C$2004=$I6)), Validations_ext!$J$2:$J$2004), "OK")</f>
        <v>OK</v>
      </c>
      <c r="J10" s="80" t="str">
        <f>IFERROR(LOOKUP(2, 1/((Validations_ext!$B$2:$B$2004=$B$2)*(Validations_ext!$C$2:$C$2004=$J6)), Validations_ext!$J$2:$J$2004), "OK")</f>
        <v>OK</v>
      </c>
      <c r="K10" s="81" t="str">
        <f>IFERROR(LOOKUP(2, 1/((Validations_ext!$B$2:$B$2004=$B$2)*(Validations_ext!$C$2:$C$2004=$K6)), Validations_ext!$J$2:$J$2004), "OK")</f>
        <v>OK</v>
      </c>
      <c r="L10" s="82" t="str">
        <f>IFERROR(LOOKUP(2, 1/((Validations_ext!$B$2:$B$2004=$B$2)*(Validations_ext!$C$2:$C$2004=$L6)), Validations_ext!$J$2:$J$2004), "OK")</f>
        <v>OK</v>
      </c>
      <c r="M10" s="80" t="str">
        <f>IFERROR(LOOKUP(2, 1/((Validations_ext!$B$2:$B$2004=$B$2)*(Validations_ext!$C$2:$C$2004=$M6)), Validations_ext!$J$2:$J$2004), "OK")</f>
        <v>OK</v>
      </c>
      <c r="N10" s="81" t="str">
        <f>IFERROR(LOOKUP(2, 1/((Validations_ext!$B$2:$B$2004=$B$2)*(Validations_ext!$C$2:$C$2004=$N6)), Validations_ext!$J$2:$J$2004), "OK")</f>
        <v>OK</v>
      </c>
      <c r="O10"/>
      <c r="P10"/>
      <c r="Q10"/>
      <c r="R10"/>
      <c r="S10"/>
      <c r="T10"/>
      <c r="U10"/>
      <c r="V10"/>
      <c r="W10"/>
      <c r="X10"/>
      <c r="Y10"/>
      <c r="Z10"/>
      <c r="AA10"/>
      <c r="AB10"/>
      <c r="AC10"/>
      <c r="AD10"/>
      <c r="AE10"/>
      <c r="AF10"/>
      <c r="AG10"/>
      <c r="AH10"/>
      <c r="AI10"/>
      <c r="AJ10"/>
    </row>
    <row r="11" spans="1:100" ht="31.5" customHeight="1">
      <c r="A11" s="4" t="s">
        <v>119</v>
      </c>
      <c r="B11" s="105"/>
      <c r="C11" s="108"/>
      <c r="D11" s="105"/>
      <c r="E11" s="105"/>
      <c r="F11" s="108"/>
      <c r="G11" s="105"/>
      <c r="H11" s="105"/>
      <c r="I11" s="105"/>
      <c r="J11" s="105"/>
      <c r="K11" s="105"/>
      <c r="L11" s="105"/>
      <c r="M11" s="108"/>
      <c r="N11" s="108"/>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C12"/>
      <c r="D12"/>
      <c r="E12"/>
      <c r="F12"/>
      <c r="L12" s="87"/>
    </row>
    <row r="13" spans="1:100">
      <c r="B13" s="109"/>
      <c r="G13" s="85"/>
    </row>
    <row r="14" spans="1:100">
      <c r="G14" s="85"/>
    </row>
    <row r="15" spans="1:100">
      <c r="G15" s="85"/>
    </row>
    <row r="16" spans="1:100">
      <c r="G16" s="85"/>
    </row>
    <row r="17" spans="7:7">
      <c r="G17" s="85"/>
    </row>
    <row r="18" spans="7:7">
      <c r="G18" s="85"/>
    </row>
  </sheetData>
  <sheetProtection algorithmName="SHA-512" hashValue="nnxV0JdIy24Ybd7ZF2DZ+icCeCIQmh9Inhc0ScSNkw6hKY5envdHfIXikMkqcidTShu79Q6n03tx8p4eNqnqYw==" saltValue="XaXu16bBTdB922IOijN0yw==" spinCount="100000" sheet="1" objects="1" scenarios="1"/>
  <mergeCells count="5">
    <mergeCell ref="B1:F1"/>
    <mergeCell ref="B4:K4"/>
    <mergeCell ref="L4:N4"/>
    <mergeCell ref="C2:J2"/>
    <mergeCell ref="A2:A3"/>
  </mergeCells>
  <phoneticPr fontId="4" type="noConversion"/>
  <conditionalFormatting sqref="B10:N10">
    <cfRule type="expression" dxfId="51" priority="3">
      <formula>ISNUMBER(SEARCH("error",B10))</formula>
    </cfRule>
  </conditionalFormatting>
  <conditionalFormatting sqref="B12:N12">
    <cfRule type="expression" dxfId="50" priority="1">
      <formula>MOD(ROW(),2)=0</formula>
    </cfRule>
  </conditionalFormatting>
  <dataValidations count="2">
    <dataValidation type="whole" allowBlank="1" showDropDown="1" showInputMessage="1" showErrorMessage="1" error="Please enter a valid Integer" sqref="B11 G11:L11 D11:E11" xr:uid="{34A1E483-33FA-43C9-B6C6-75174A4B25CC}">
      <formula1>-999999999999999</formula1>
      <formula2>999999999999999</formula2>
    </dataValidation>
    <dataValidation type="decimal" allowBlank="1" showDropDown="1" showInputMessage="1" showErrorMessage="1" error="Please enter a valid Monetary value" sqref="C11 M11:N11 F11" xr:uid="{771E7011-29D3-4581-B761-AF5D655E2710}">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DAF47-F259-4576-82C2-5BF69FAA2716}">
  <sheetPr codeName="Sheet14"/>
  <dimension ref="A1:CV12"/>
  <sheetViews>
    <sheetView zoomScale="90" zoomScaleNormal="90" workbookViewId="0">
      <selection activeCell="B11" sqref="B11"/>
    </sheetView>
  </sheetViews>
  <sheetFormatPr defaultColWidth="15.42578125" defaultRowHeight="15"/>
  <cols>
    <col min="1" max="1" width="28.5703125" style="57" customWidth="1"/>
    <col min="2" max="2" width="27.7109375" customWidth="1"/>
    <col min="3" max="4" width="27.7109375" style="85" customWidth="1"/>
    <col min="5" max="5" width="27.7109375" customWidth="1"/>
  </cols>
  <sheetData>
    <row r="1" spans="1:100" s="57" customFormat="1" ht="2.25" customHeight="1">
      <c r="A1" s="54"/>
      <c r="B1" s="191"/>
      <c r="C1" s="192"/>
      <c r="D1" s="191"/>
      <c r="E1"/>
      <c r="F1"/>
      <c r="G1"/>
      <c r="H1"/>
      <c r="I1"/>
      <c r="J1"/>
      <c r="K1"/>
      <c r="L1"/>
      <c r="M1"/>
      <c r="N1"/>
      <c r="O1"/>
      <c r="P1"/>
      <c r="Q1"/>
      <c r="R1"/>
      <c r="S1"/>
      <c r="T1"/>
      <c r="U1"/>
      <c r="V1"/>
      <c r="W1"/>
      <c r="X1"/>
      <c r="Y1"/>
      <c r="Z1"/>
    </row>
    <row r="2" spans="1:100" ht="75.75" customHeight="1">
      <c r="A2" s="187" t="s">
        <v>43</v>
      </c>
      <c r="B2" s="58" t="s">
        <v>192</v>
      </c>
      <c r="C2" s="190" t="s">
        <v>193</v>
      </c>
      <c r="D2" s="193"/>
      <c r="E2" s="190"/>
      <c r="F2" s="15"/>
      <c r="G2" s="15"/>
      <c r="H2" s="15"/>
      <c r="I2" s="15"/>
      <c r="J2" s="15"/>
      <c r="K2" s="15"/>
      <c r="L2" s="15"/>
      <c r="M2" s="15"/>
      <c r="N2" s="15"/>
      <c r="O2" s="15"/>
      <c r="P2" s="15"/>
      <c r="Q2" s="15"/>
      <c r="R2" s="15"/>
      <c r="S2" s="15"/>
      <c r="T2" s="15"/>
      <c r="U2" s="15"/>
      <c r="V2" s="15"/>
      <c r="W2" s="15"/>
      <c r="X2" s="15"/>
      <c r="Y2" s="15"/>
    </row>
    <row r="3" spans="1:100" s="60" customFormat="1" ht="76.5" customHeight="1">
      <c r="A3" s="187"/>
      <c r="B3" s="59"/>
    </row>
    <row r="4" spans="1:100" s="57" customFormat="1" ht="24" customHeight="1">
      <c r="A4" s="61" t="s">
        <v>46</v>
      </c>
      <c r="B4" s="184" t="s">
        <v>63</v>
      </c>
      <c r="C4" s="184"/>
      <c r="D4" s="185"/>
      <c r="E4" s="186"/>
      <c r="F4"/>
      <c r="G4"/>
      <c r="H4"/>
      <c r="I4"/>
      <c r="J4"/>
      <c r="K4"/>
      <c r="L4"/>
      <c r="M4"/>
      <c r="N4"/>
      <c r="O4"/>
      <c r="P4"/>
      <c r="Q4"/>
      <c r="R4"/>
      <c r="S4"/>
      <c r="T4"/>
      <c r="U4"/>
      <c r="V4"/>
      <c r="W4"/>
      <c r="X4"/>
      <c r="Y4"/>
      <c r="Z4"/>
    </row>
    <row r="5" spans="1:100" s="15" customFormat="1" ht="78.75" customHeight="1">
      <c r="A5" s="7" t="s">
        <v>50</v>
      </c>
      <c r="B5" s="99" t="s">
        <v>194</v>
      </c>
      <c r="C5" s="99" t="s">
        <v>195</v>
      </c>
      <c r="D5" s="100" t="s">
        <v>196</v>
      </c>
      <c r="E5" s="101" t="s">
        <v>197</v>
      </c>
    </row>
    <row r="6" spans="1:100" ht="21" customHeight="1">
      <c r="A6" s="5" t="s">
        <v>80</v>
      </c>
      <c r="B6" s="69" t="s">
        <v>81</v>
      </c>
      <c r="C6" s="70" t="s">
        <v>82</v>
      </c>
      <c r="D6" s="103" t="s">
        <v>83</v>
      </c>
      <c r="E6" s="72" t="s">
        <v>84</v>
      </c>
    </row>
    <row r="7" spans="1:100" s="16" customFormat="1" ht="15" customHeight="1">
      <c r="A7" s="6" t="s">
        <v>110</v>
      </c>
      <c r="B7" s="74" t="s">
        <v>150</v>
      </c>
      <c r="C7" s="74" t="s">
        <v>150</v>
      </c>
      <c r="D7" s="75" t="s">
        <v>150</v>
      </c>
      <c r="E7" s="76" t="s">
        <v>149</v>
      </c>
      <c r="F7"/>
      <c r="G7"/>
      <c r="H7"/>
      <c r="I7"/>
      <c r="J7"/>
      <c r="K7"/>
      <c r="L7"/>
      <c r="M7"/>
      <c r="N7"/>
      <c r="O7"/>
      <c r="P7"/>
      <c r="Q7"/>
      <c r="R7"/>
      <c r="S7"/>
      <c r="T7"/>
      <c r="U7"/>
      <c r="V7"/>
      <c r="W7"/>
      <c r="X7"/>
      <c r="Y7"/>
      <c r="Z7"/>
    </row>
    <row r="8" spans="1:100" ht="15" customHeight="1">
      <c r="A8" s="6" t="s">
        <v>111</v>
      </c>
      <c r="B8" s="74" t="s">
        <v>158</v>
      </c>
      <c r="C8" s="74" t="s">
        <v>158</v>
      </c>
      <c r="D8" s="75" t="s">
        <v>198</v>
      </c>
      <c r="E8" s="76" t="s">
        <v>151</v>
      </c>
    </row>
    <row r="9" spans="1:100" ht="15" customHeight="1">
      <c r="A9" s="6" t="s">
        <v>117</v>
      </c>
      <c r="B9" s="74"/>
      <c r="C9" s="74"/>
      <c r="D9" s="75"/>
      <c r="E9" s="76"/>
    </row>
    <row r="10" spans="1:100" s="15" customFormat="1" ht="98.25" customHeight="1">
      <c r="A10" s="6" t="s">
        <v>118</v>
      </c>
      <c r="B10" s="78" t="str">
        <f>IFERROR(LOOKUP(2, 1/((Validations_ext!$B$2:$B$2004=$B$2)*(Validations_ext!$C$2:$C$2004=$B6)), Validations_ext!$J$2:$J$2004), "OK")</f>
        <v>OK</v>
      </c>
      <c r="C10" s="78" t="str">
        <f>IFERROR(LOOKUP(2, 1/((Validations_ext!$B$2:$B$2004=$B$2)*(Validations_ext!$C$2:$C$2004=$C6)), Validations_ext!$J$2:$J$2004), "OK")</f>
        <v>OK</v>
      </c>
      <c r="D10" s="80" t="str">
        <f>IFERROR(LOOKUP(2, 1/((Validations_ext!$B$2:$B$2004=$B$2)*(Validations_ext!$C$2:$C$2004=$D6)), Validations_ext!$J$2:$J$2004), "OK")</f>
        <v>OK</v>
      </c>
      <c r="E10" s="81" t="str">
        <f>IFERROR(LOOKUP(2, 1/((Validations_ext!$B$2:$B$2004=$B$2)*(Validations_ext!$C$2:$C$2004=$E6)), Validations_ext!$J$2:$J$2004), "OK")</f>
        <v>OK</v>
      </c>
      <c r="F10"/>
      <c r="G10"/>
      <c r="H10"/>
      <c r="I10"/>
      <c r="J10"/>
      <c r="K10"/>
      <c r="L10"/>
      <c r="M10"/>
      <c r="N10"/>
      <c r="O10"/>
      <c r="P10"/>
      <c r="Q10"/>
      <c r="R10"/>
      <c r="S10"/>
      <c r="T10"/>
      <c r="U10"/>
      <c r="V10"/>
      <c r="W10"/>
      <c r="X10"/>
      <c r="Y10"/>
      <c r="Z10"/>
      <c r="AA10"/>
      <c r="AB10"/>
      <c r="AC10"/>
    </row>
    <row r="11" spans="1:100" ht="31.5" customHeight="1">
      <c r="A11" s="4" t="s">
        <v>119</v>
      </c>
      <c r="B11" s="108"/>
      <c r="C11" s="108"/>
      <c r="D11" s="108"/>
      <c r="E11" s="105"/>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ht="15" customHeight="1">
      <c r="B12" s="110"/>
      <c r="C12"/>
      <c r="D12"/>
    </row>
  </sheetData>
  <sheetProtection algorithmName="SHA-512" hashValue="e/ojT1C55lYFvmZbgZFCg+PSN9qlqlWM8AyzeQfIePI4eTeKHH9dTdnDmGHo1UhZJYJOocoNpP8nAK3AkFdc0w==" saltValue="rhsBFfr/JXlv6Jkb5M+X9Q==" spinCount="100000" sheet="1" objects="1" scenarios="1"/>
  <mergeCells count="4">
    <mergeCell ref="B1:D1"/>
    <mergeCell ref="B4:E4"/>
    <mergeCell ref="C2:E2"/>
    <mergeCell ref="A2:A3"/>
  </mergeCells>
  <phoneticPr fontId="4" type="noConversion"/>
  <conditionalFormatting sqref="B10:E10">
    <cfRule type="expression" dxfId="49" priority="3">
      <formula>ISNUMBER(SEARCH("error",B10))</formula>
    </cfRule>
  </conditionalFormatting>
  <conditionalFormatting sqref="B12:E12">
    <cfRule type="expression" dxfId="48" priority="1">
      <formula>MOD(ROW(),2)=0</formula>
    </cfRule>
  </conditionalFormatting>
  <dataValidations count="3">
    <dataValidation type="decimal" allowBlank="1" showDropDown="1" showInputMessage="1" showErrorMessage="1" error="Please enter a valid Monetary value" sqref="B11:C11" xr:uid="{86903F46-27F5-42A1-9821-2A7C1BEF9D93}">
      <formula1>-999999999999999</formula1>
      <formula2>999999999999999</formula2>
    </dataValidation>
    <dataValidation type="decimal" allowBlank="1" showDropDown="1" showInputMessage="1" showErrorMessage="1" error="Please enter the % as a decimal number between 0 and 1." sqref="D11" xr:uid="{AD13EB24-41A0-414F-B426-CF66FD9AB5F8}">
      <formula1>0</formula1>
      <formula2>1</formula2>
    </dataValidation>
    <dataValidation type="whole" allowBlank="1" showDropDown="1" showInputMessage="1" showErrorMessage="1" error="Please enter a valid Integer" sqref="E11" xr:uid="{77D4F2C1-1704-4CC0-A6A7-A072347210A1}">
      <formula1>-999999999999999</formula1>
      <formula2>999999999999999</formula2>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pictur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2 8 8 f 8 c c 9 - 2 f 0 7 - 4 3 3 c - a f c d - 4 3 1 1 6 4 a d 0 d 9 3 "   x m l n s = " h t t p : / / s c h e m a s . m i c r o s o f t . c o m / D a t a M a s h u p " > A A A A A B U D A A B Q S w M E F A A C A A g A A w Z X X E G 4 A 7 + l A A A A 9 g A A A B I A H A B D b 2 5 m a W c v U G F j a 2 F n Z S 5 4 b W w g o h g A K K A U A A A A A A A A A A A A A A A A A A A A A A A A A A A A h Y + x D o I w G I R f h X S n L S U m h P y U w V U S E 6 J x b U q F R i i G F s u 7 O f h I v o I Y R d 0 c 7 + 6 7 5 O 5 + v U E + d W 1 w U Y P V v c l Q h C k K l J F 9 p U 2 d o d E d w w T l H L Z C n k S t g h k 2 N p 2 s z l D j 3 D k l x H u P f Y z 7 o S a M 0 o g c i k 0 p G 9 W J U B v r h J E K f V r V / x b i s H + N 4 Q x H q w j H L M E U y G J C o c 0 X Y P P e Z / p j w n p s 3 T g o r k y 4 K 4 E s E s j 7 A 3 8 A U E s D B B Q A A g A I A A M G V 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B l d c K I p H u A 4 A A A A R A A A A E w A c A E Z v c m 1 1 b G F z L 1 N l Y 3 R p b 2 4 x L m 0 g o h g A K K A U A A A A A A A A A A A A A A A A A A A A A A A A A A A A K 0 5 N L s n M z 1 M I h t C G 1 g B Q S w E C L Q A U A A I A C A A D B l d c Q b g D v 6 U A A A D 2 A A A A E g A A A A A A A A A A A A A A A A A A A A A A Q 2 9 u Z m l n L 1 B h Y 2 t h Z 2 U u e G 1 s U E s B A i 0 A F A A C A A g A A w Z X X A / K 6 a u k A A A A 6 Q A A A B M A A A A A A A A A A A A A A A A A 8 Q A A A F t D b 2 5 0 Z W 5 0 X 1 R 5 c G V z X S 5 4 b W x Q S w E C L Q A U A A I A C A A D B l d c 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T h G p W A k s X k m z h s v X H y A F 3 w A A A A A C A A A A A A A Q Z g A A A A E A A C A A A A D e j 6 4 + E 7 R U Q V 8 d U u + 5 Q f 7 L C 9 K q o z a F Y x D E 6 t l 0 + R 5 a b A A A A A A O g A A A A A I A A C A A A A D Z 9 K 9 A M x R m f E M h T Z c + G 0 / g L 7 H l G O P x R T E y 4 U W U K f m 3 Y l A A A A B 9 + 4 n R P / G n l L h D Y u Z 7 H m q W j + c 3 k x 9 x z 2 2 v J t 5 h W + Z M 5 g K t M i V G L r Q e T y x x 2 Z L l x P t 2 b q S 2 U m c c s z Q F E Z K 3 0 I x 2 k t l Y H N / y B 3 3 X S 6 3 l L d m A Z 0 A A A A B k w g 6 K R k e 6 M T + 3 5 S G w i b 6 G r 5 L y b Z 4 r + a M 4 x r + s x 5 + T U 5 N 3 3 t i C Q n L G s 1 l 1 j y u M 4 n h I 6 A N 1 O q j X Z 5 M D 1 p 9 j M N V d < / 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4AC122F047E594AB0BCC5E5BC71D78E" ma:contentTypeVersion="4" ma:contentTypeDescription="Create a new document." ma:contentTypeScope="" ma:versionID="679f9a1c5570256d4160c3abdd0b7e36">
  <xsd:schema xmlns:xsd="http://www.w3.org/2001/XMLSchema" xmlns:xs="http://www.w3.org/2001/XMLSchema" xmlns:p="http://schemas.microsoft.com/office/2006/metadata/properties" xmlns:ns2="1f8fa110-2145-4d54-b280-8790bb7cd9e6" targetNamespace="http://schemas.microsoft.com/office/2006/metadata/properties" ma:root="true" ma:fieldsID="31f671f2e3fc6cc0f9b26b3def1a62d4" ns2:_="">
    <xsd:import namespace="1f8fa110-2145-4d54-b280-8790bb7cd9e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c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8fa110-2145-4d54-b280-8790bb7cd9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cas" ma:index="11" nillable="true" ma:displayName="cas" ma:format="DateTime" ma:internalName="ca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as xmlns="1f8fa110-2145-4d54-b280-8790bb7cd9e6" xsi:nil="true"/>
  </documentManagement>
</p:properties>
</file>

<file path=customXml/itemProps1.xml><?xml version="1.0" encoding="utf-8"?>
<ds:datastoreItem xmlns:ds="http://schemas.openxmlformats.org/officeDocument/2006/customXml" ds:itemID="{BEBFD6CF-4356-44CD-887E-BA1A12308A6F}"/>
</file>

<file path=customXml/itemProps2.xml><?xml version="1.0" encoding="utf-8"?>
<ds:datastoreItem xmlns:ds="http://schemas.openxmlformats.org/officeDocument/2006/customXml" ds:itemID="{7B2BD06C-3B58-40BC-804A-8E815FECC18A}"/>
</file>

<file path=customXml/itemProps3.xml><?xml version="1.0" encoding="utf-8"?>
<ds:datastoreItem xmlns:ds="http://schemas.openxmlformats.org/officeDocument/2006/customXml" ds:itemID="{1B58CE89-BB8D-4EAE-9B12-60FA2FA752CB}"/>
</file>

<file path=customXml/itemProps4.xml><?xml version="1.0" encoding="utf-8"?>
<ds:datastoreItem xmlns:ds="http://schemas.openxmlformats.org/officeDocument/2006/customXml" ds:itemID="{371681D7-CF6C-4F75-9333-5E0F2FD58178}"/>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MÜLLER David Frank (AMLA)</dc:creator>
  <cp:keywords/>
  <dc:description/>
  <cp:lastModifiedBy>BIHRER Nadine (AMLA)</cp:lastModifiedBy>
  <cp:revision/>
  <dcterms:created xsi:type="dcterms:W3CDTF">2015-06-05T18:17:20Z</dcterms:created>
  <dcterms:modified xsi:type="dcterms:W3CDTF">2026-03-05T10:38:49Z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0x01010034AC122F047E594AB0BCC5E5BC71D78E</vt:lpwstr>
  </property>
  <property fmtid="{D5CDD505-2E9C-101B-9397-08002B2CF9AE}" pid="3" name="MSIP_Label_d5bd0209-b4c6-43d7-bad4-1eb1b6095fad_Enabled">
    <vt:lpwstr>true</vt:lpwstr>
  </property>
  <property fmtid="{D5CDD505-2E9C-101B-9397-08002B2CF9AE}" pid="4" name="MSIP_Label_d5bd0209-b4c6-43d7-bad4-1eb1b6095fad_SetDate">
    <vt:lpwstr>2025-12-09T08:00:53Z</vt:lpwstr>
  </property>
  <property fmtid="{D5CDD505-2E9C-101B-9397-08002B2CF9AE}" pid="5" name="MSIP_Label_d5bd0209-b4c6-43d7-bad4-1eb1b6095fad_Method">
    <vt:lpwstr>Standard</vt:lpwstr>
  </property>
  <property fmtid="{D5CDD505-2E9C-101B-9397-08002B2CF9AE}" pid="6" name="MSIP_Label_d5bd0209-b4c6-43d7-bad4-1eb1b6095fad_Name">
    <vt:lpwstr>AMLA Regular</vt:lpwstr>
  </property>
  <property fmtid="{D5CDD505-2E9C-101B-9397-08002B2CF9AE}" pid="7" name="MSIP_Label_d5bd0209-b4c6-43d7-bad4-1eb1b6095fad_SiteId">
    <vt:lpwstr>56c0f15b-8d67-496c-b187-9de88d4ddbc3</vt:lpwstr>
  </property>
  <property fmtid="{D5CDD505-2E9C-101B-9397-08002B2CF9AE}" pid="8" name="MSIP_Label_d5bd0209-b4c6-43d7-bad4-1eb1b6095fad_ActionId">
    <vt:lpwstr>3eea3f28-2b32-40e8-894e-7a78d6a5653b</vt:lpwstr>
  </property>
  <property fmtid="{D5CDD505-2E9C-101B-9397-08002B2CF9AE}" pid="9" name="MSIP_Label_d5bd0209-b4c6-43d7-bad4-1eb1b6095fad_ContentBits">
    <vt:lpwstr>0</vt:lpwstr>
  </property>
  <property fmtid="{D5CDD505-2E9C-101B-9397-08002B2CF9AE}" pid="10" name="MSIP_Label_d5bd0209-b4c6-43d7-bad4-1eb1b6095fad_Tag">
    <vt:lpwstr>10, 3, 0, 2</vt:lpwstr>
  </property>
</Properties>
</file>